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Larry\Documents\Hobbies\Beer\"/>
    </mc:Choice>
  </mc:AlternateContent>
  <bookViews>
    <workbookView xWindow="0" yWindow="0" windowWidth="15816" windowHeight="11448" tabRatio="773"/>
  </bookViews>
  <sheets>
    <sheet name="Instructions" sheetId="29" r:id="rId1"/>
    <sheet name="Recipe Sheet" sheetId="28" r:id="rId2"/>
    <sheet name="Brewhouse Setup &amp; Calcs" sheetId="14" r:id="rId3"/>
    <sheet name="Grain &amp; Sugar Calcs" sheetId="13" r:id="rId4"/>
    <sheet name="Hops Calcs" sheetId="16" r:id="rId5"/>
    <sheet name="Grain &amp; Sugar List" sheetId="24" r:id="rId6"/>
    <sheet name="Hops List" sheetId="25" r:id="rId7"/>
    <sheet name="Yeast List" sheetId="26" r:id="rId8"/>
    <sheet name="Beer Category &amp; Style List" sheetId="19" r:id="rId9"/>
    <sheet name="Priming" sheetId="7" r:id="rId10"/>
    <sheet name="Conversion Tables" sheetId="5" r:id="rId11"/>
    <sheet name="Common Variables" sheetId="8" r:id="rId12"/>
  </sheets>
  <definedNames>
    <definedName name="_xlnm._FilterDatabase" localSheetId="3" hidden="1">'Grain &amp; Sugar Calcs'!$B$2:$L$16</definedName>
    <definedName name="_xlnm._FilterDatabase" localSheetId="5" hidden="1">'Grain &amp; Sugar List'!$A$1:$T$108</definedName>
    <definedName name="_xlnm._FilterDatabase" localSheetId="7" hidden="1">'Yeast List'!$A$1:$I$636</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ategory">#REF!</definedName>
    <definedName name="col_num" localSheetId="1">MATCH('Recipe Sheet'!Category,'Recipe Sheet'!BeerList_Headers,0)</definedName>
    <definedName name="col_num">MATCH(Category,BeerList_Headers,0)</definedName>
    <definedName name="entire_col" localSheetId="1">INDEX(BeerList_Table[],,'Recipe Sheet'!col_num)</definedName>
    <definedName name="entire_col">INDEX(BeerList_Table[],,col_num)</definedName>
    <definedName name="_xlnm.Print_Area" localSheetId="2">'Brewhouse Setup &amp; Calcs'!$A:$F</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62913"/>
</workbook>
</file>

<file path=xl/calcChain.xml><?xml version="1.0" encoding="utf-8"?>
<calcChain xmlns="http://schemas.openxmlformats.org/spreadsheetml/2006/main">
  <c r="B38" i="14" l="1"/>
  <c r="L40" i="28" l="1"/>
  <c r="L38" i="28"/>
  <c r="L39" i="28"/>
  <c r="C15" i="14" l="1"/>
  <c r="C14" i="14"/>
  <c r="O33" i="28" l="1"/>
  <c r="O32" i="28"/>
  <c r="O31" i="28"/>
  <c r="O30" i="28"/>
  <c r="G11" i="5" l="1"/>
  <c r="H7" i="5"/>
  <c r="G12" i="16" l="1"/>
  <c r="G13" i="16"/>
  <c r="G14" i="16"/>
  <c r="G15" i="16"/>
  <c r="K11" i="13"/>
  <c r="K12" i="13"/>
  <c r="K13" i="13"/>
  <c r="J11" i="13"/>
  <c r="J12" i="13"/>
  <c r="J13" i="13"/>
  <c r="H11" i="13"/>
  <c r="H12" i="13"/>
  <c r="H13" i="13"/>
  <c r="N12" i="28" l="1"/>
  <c r="N13" i="28"/>
  <c r="N14" i="28"/>
  <c r="N15" i="28"/>
  <c r="N19" i="28"/>
  <c r="N33" i="28" s="1"/>
  <c r="L19" i="28"/>
  <c r="D10" i="28"/>
  <c r="D11" i="28"/>
  <c r="D12" i="28"/>
  <c r="D13" i="28"/>
  <c r="D14" i="28"/>
  <c r="D15" i="28"/>
  <c r="E13" i="13" l="1"/>
  <c r="E12" i="13"/>
  <c r="E11" i="13"/>
  <c r="E10" i="13"/>
  <c r="E9" i="13"/>
  <c r="E8" i="13"/>
  <c r="E7" i="13"/>
  <c r="E6" i="13"/>
  <c r="E5" i="13"/>
  <c r="G10" i="28" l="1"/>
  <c r="C19" i="28"/>
  <c r="D7" i="28"/>
  <c r="D8" i="28"/>
  <c r="D9" i="28"/>
  <c r="C20" i="28"/>
  <c r="C21" i="28"/>
  <c r="A28" i="28"/>
  <c r="I33" i="28"/>
  <c r="K31" i="28"/>
  <c r="I31" i="28"/>
  <c r="A27" i="28"/>
  <c r="A25" i="28"/>
  <c r="A23" i="28"/>
  <c r="A22" i="28"/>
  <c r="E21" i="28"/>
  <c r="A21" i="28"/>
  <c r="A20" i="28"/>
  <c r="A19" i="28"/>
  <c r="M15" i="28"/>
  <c r="L15" i="28"/>
  <c r="G15" i="28"/>
  <c r="K15" i="28"/>
  <c r="O15" i="28"/>
  <c r="A15" i="28"/>
  <c r="M14" i="28"/>
  <c r="L14" i="28"/>
  <c r="G14" i="28"/>
  <c r="K14" i="28"/>
  <c r="O14" i="28"/>
  <c r="A14" i="28"/>
  <c r="M13" i="28"/>
  <c r="L13" i="28"/>
  <c r="G13" i="28"/>
  <c r="K13" i="28"/>
  <c r="O13" i="28"/>
  <c r="A13" i="28"/>
  <c r="M12" i="28"/>
  <c r="L12" i="28"/>
  <c r="G12" i="28"/>
  <c r="K12" i="28"/>
  <c r="O12" i="28"/>
  <c r="A12" i="28"/>
  <c r="M11" i="28"/>
  <c r="L11" i="28"/>
  <c r="G11" i="28"/>
  <c r="K11" i="28"/>
  <c r="O11" i="28"/>
  <c r="A11" i="28"/>
  <c r="M10" i="28"/>
  <c r="L10" i="28"/>
  <c r="K10" i="28"/>
  <c r="O10" i="28"/>
  <c r="A10" i="28"/>
  <c r="M9" i="28"/>
  <c r="L9" i="28"/>
  <c r="G9" i="28"/>
  <c r="K9" i="28"/>
  <c r="O9" i="28"/>
  <c r="A9" i="28"/>
  <c r="M8" i="28"/>
  <c r="L8" i="28"/>
  <c r="G8" i="28"/>
  <c r="K8" i="28"/>
  <c r="O8" i="28"/>
  <c r="A8" i="28"/>
  <c r="M7" i="28"/>
  <c r="L7" i="28"/>
  <c r="G7" i="28"/>
  <c r="K7" i="28"/>
  <c r="O7" i="28"/>
  <c r="A7" i="28"/>
  <c r="M5" i="28"/>
  <c r="L5" i="28"/>
  <c r="G5" i="28"/>
  <c r="K5" i="28"/>
  <c r="O5" i="28"/>
  <c r="N30" i="28"/>
  <c r="I9" i="13"/>
  <c r="I10" i="13"/>
  <c r="I11" i="13"/>
  <c r="I12" i="13"/>
  <c r="I13" i="13"/>
  <c r="B7" i="14"/>
  <c r="B5" i="14"/>
  <c r="E26" i="28" s="1"/>
  <c r="B6" i="14"/>
  <c r="C4" i="13" s="1"/>
  <c r="B4" i="14"/>
  <c r="Q19" i="28" s="1"/>
  <c r="C24" i="14" l="1"/>
  <c r="C29" i="14"/>
  <c r="C26" i="14"/>
  <c r="C30" i="14"/>
  <c r="C28" i="14"/>
  <c r="O19" i="28"/>
  <c r="Q18" i="28"/>
  <c r="C35" i="14"/>
  <c r="C39" i="14"/>
  <c r="E28" i="28"/>
  <c r="E27" i="28"/>
  <c r="C37" i="14"/>
  <c r="C36" i="14"/>
  <c r="C40" i="14"/>
  <c r="E22" i="28"/>
  <c r="C44" i="14"/>
  <c r="C46" i="14"/>
  <c r="C48" i="14"/>
  <c r="K30" i="28"/>
  <c r="C41" i="14"/>
  <c r="C45" i="14"/>
  <c r="C47" i="14"/>
  <c r="C49" i="14"/>
  <c r="E25" i="28"/>
  <c r="M6" i="28"/>
  <c r="F6" i="16"/>
  <c r="C20" i="14"/>
  <c r="C13" i="14"/>
  <c r="C38" i="14"/>
  <c r="E20" i="28"/>
  <c r="C12" i="14"/>
  <c r="E23" i="28"/>
  <c r="E19" i="28"/>
  <c r="D6" i="28"/>
  <c r="C19" i="14"/>
  <c r="C11" i="14"/>
  <c r="K33" i="28" s="1"/>
  <c r="C53" i="14"/>
  <c r="K32" i="28" s="1"/>
  <c r="C51" i="14"/>
  <c r="C52" i="14"/>
  <c r="D11" i="13"/>
  <c r="E13" i="28" s="1"/>
  <c r="D12" i="13"/>
  <c r="E14" i="28" s="1"/>
  <c r="D13" i="13"/>
  <c r="E15" i="28" s="1"/>
  <c r="G11" i="13"/>
  <c r="G13" i="13"/>
  <c r="I6" i="13"/>
  <c r="I7" i="13"/>
  <c r="I8" i="13"/>
  <c r="I5" i="13"/>
  <c r="F6" i="13"/>
  <c r="F7" i="13"/>
  <c r="F8" i="13"/>
  <c r="F9" i="13"/>
  <c r="G9" i="13" s="1"/>
  <c r="H9" i="13" s="1"/>
  <c r="F10" i="13"/>
  <c r="G10" i="13" s="1"/>
  <c r="H10" i="13" s="1"/>
  <c r="F11" i="13"/>
  <c r="F12" i="13"/>
  <c r="G12" i="13" s="1"/>
  <c r="F13" i="13"/>
  <c r="F5" i="13"/>
  <c r="G8" i="16" l="1"/>
  <c r="N8" i="28" s="1"/>
  <c r="G7" i="16"/>
  <c r="N7" i="28" s="1"/>
  <c r="G11" i="16"/>
  <c r="N11" i="28" s="1"/>
  <c r="G9" i="16"/>
  <c r="N9" i="28" s="1"/>
  <c r="G10" i="16"/>
  <c r="N10" i="28" s="1"/>
  <c r="G8" i="13"/>
  <c r="H8" i="13" s="1"/>
  <c r="G7" i="13"/>
  <c r="H7" i="13" s="1"/>
  <c r="G5" i="13"/>
  <c r="H5" i="13" s="1"/>
  <c r="G6" i="13"/>
  <c r="H6" i="13" s="1"/>
  <c r="C14" i="13"/>
  <c r="C15" i="13"/>
  <c r="B37" i="14" l="1"/>
  <c r="B39" i="14"/>
  <c r="H15" i="13"/>
  <c r="H14" i="13"/>
  <c r="B36" i="14"/>
  <c r="H10" i="16"/>
  <c r="H11" i="16"/>
  <c r="B41" i="14" l="1"/>
  <c r="B45" i="14"/>
  <c r="B40" i="14"/>
  <c r="E6" i="14" s="1"/>
  <c r="H8" i="16"/>
  <c r="H9" i="16"/>
  <c r="H12" i="16"/>
  <c r="H13" i="16"/>
  <c r="H14" i="16"/>
  <c r="H15" i="16"/>
  <c r="H7" i="16"/>
  <c r="B53" i="14"/>
  <c r="C15" i="5"/>
  <c r="D5" i="5"/>
  <c r="C13" i="5"/>
  <c r="C11" i="5"/>
  <c r="C9" i="5"/>
  <c r="C3" i="5"/>
  <c r="C5" i="5"/>
  <c r="D3" i="5"/>
  <c r="B5" i="8"/>
  <c r="A14" i="8"/>
  <c r="B4" i="7" s="1"/>
  <c r="B7" i="7" s="1"/>
  <c r="B8" i="7" s="1"/>
  <c r="B9" i="7" s="1"/>
  <c r="C14" i="8"/>
  <c r="E14" i="8"/>
  <c r="F4" i="7"/>
  <c r="F5" i="7"/>
  <c r="F6" i="7"/>
  <c r="F7" i="7"/>
  <c r="F8" i="7"/>
  <c r="F9" i="7"/>
  <c r="F10" i="7"/>
  <c r="F11" i="7"/>
  <c r="F12" i="7"/>
  <c r="F13" i="7"/>
  <c r="F14" i="7"/>
  <c r="F15" i="7"/>
  <c r="B20" i="7"/>
  <c r="B21" i="7" s="1"/>
  <c r="B22" i="7" s="1"/>
  <c r="B52" i="14" l="1"/>
  <c r="K10" i="13"/>
  <c r="K9" i="13"/>
  <c r="K8" i="13"/>
  <c r="K7" i="13"/>
  <c r="K5" i="13"/>
  <c r="K6" i="13"/>
  <c r="K15" i="13" s="1"/>
  <c r="I32" i="28"/>
  <c r="C23" i="28"/>
  <c r="C16" i="13"/>
  <c r="B51" i="14"/>
  <c r="B29" i="7"/>
  <c r="B30" i="7" s="1"/>
  <c r="B31" i="7" s="1"/>
  <c r="B23" i="7"/>
  <c r="B24" i="7" s="1"/>
  <c r="B25" i="7" s="1"/>
  <c r="B26" i="7"/>
  <c r="B27" i="7" s="1"/>
  <c r="B28" i="7" s="1"/>
  <c r="B5" i="7"/>
  <c r="B6" i="7" s="1"/>
  <c r="B13" i="7"/>
  <c r="B14" i="7" s="1"/>
  <c r="B15" i="7" s="1"/>
  <c r="B10" i="7"/>
  <c r="B11" i="7" s="1"/>
  <c r="B12" i="7" s="1"/>
  <c r="D9" i="13" l="1"/>
  <c r="E11" i="28" s="1"/>
  <c r="D10" i="13"/>
  <c r="E12" i="28" s="1"/>
  <c r="C22" i="28"/>
  <c r="D8" i="13"/>
  <c r="E10" i="28" s="1"/>
  <c r="D7" i="13"/>
  <c r="D6" i="13"/>
  <c r="D5" i="13"/>
  <c r="B35" i="14"/>
  <c r="E7" i="14" s="1"/>
  <c r="B42" i="14" l="1"/>
  <c r="D15" i="13"/>
  <c r="J6" i="13"/>
  <c r="J15" i="13" s="1"/>
  <c r="J10" i="13"/>
  <c r="J5" i="13"/>
  <c r="J19" i="13" s="1"/>
  <c r="J7" i="13"/>
  <c r="J8" i="13"/>
  <c r="J9" i="13"/>
  <c r="I30" i="28"/>
  <c r="E8" i="28"/>
  <c r="E9" i="28"/>
  <c r="E7" i="28"/>
  <c r="K14" i="13"/>
  <c r="K16" i="13"/>
  <c r="I40" i="28" s="1"/>
  <c r="K20" i="13"/>
  <c r="D14" i="13"/>
  <c r="J18" i="13" l="1"/>
  <c r="B43" i="14"/>
  <c r="I39" i="28"/>
  <c r="H16" i="13"/>
  <c r="D16" i="13"/>
  <c r="B44" i="14" l="1"/>
  <c r="B47" i="14" s="1"/>
  <c r="C26" i="28" s="1"/>
  <c r="N32" i="28"/>
  <c r="C24" i="28"/>
  <c r="J16" i="13"/>
  <c r="J14" i="13"/>
  <c r="J20" i="13"/>
  <c r="B48" i="14" l="1"/>
  <c r="B46" i="14"/>
  <c r="B49" i="14"/>
  <c r="I11" i="16"/>
  <c r="J11" i="16" s="1"/>
  <c r="I10" i="16"/>
  <c r="J10" i="16" s="1"/>
  <c r="I8" i="16"/>
  <c r="J8" i="16" s="1"/>
  <c r="I9" i="16"/>
  <c r="J9" i="16" s="1"/>
  <c r="I7" i="16"/>
  <c r="J7" i="16" s="1"/>
  <c r="I14" i="16"/>
  <c r="J14" i="16" s="1"/>
  <c r="I13" i="16"/>
  <c r="J13" i="16" s="1"/>
  <c r="I12" i="16"/>
  <c r="J12" i="16" s="1"/>
  <c r="I15" i="16"/>
  <c r="J15" i="16" s="1"/>
  <c r="C27" i="28"/>
  <c r="I38" i="28"/>
  <c r="C25" i="28" l="1"/>
  <c r="C28" i="28"/>
  <c r="J16" i="16" l="1"/>
  <c r="N31" i="28" l="1"/>
</calcChain>
</file>

<file path=xl/sharedStrings.xml><?xml version="1.0" encoding="utf-8"?>
<sst xmlns="http://schemas.openxmlformats.org/spreadsheetml/2006/main" count="2744" uniqueCount="1687">
  <si>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</si>
  <si>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</si>
  <si>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</si>
  <si>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</si>
  <si>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</si>
  <si>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</si>
  <si>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</si>
  <si>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</si>
  <si>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</si>
  <si>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</si>
  <si>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</si>
  <si>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</si>
  <si>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</si>
  <si>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r>
      <t>Alcohol &amp; CO</t>
    </r>
    <r>
      <rPr>
        <vertAlign val="subscript"/>
        <sz val="10"/>
        <rFont val="Arial"/>
        <family val="2"/>
      </rPr>
      <t>2</t>
    </r>
    <r>
      <rPr>
        <sz val="10"/>
        <rFont val="Arial"/>
        <family val="2"/>
      </rPr>
      <t xml:space="preserve"> production</t>
    </r>
  </si>
  <si>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</si>
  <si>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</si>
  <si>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</si>
  <si>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</si>
  <si>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</si>
  <si>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oz / 5-gal batch</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</si>
  <si>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</si>
  <si>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</si>
  <si>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</si>
  <si>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</si>
  <si>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</si>
  <si>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</si>
  <si>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</si>
  <si>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</si>
  <si>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</si>
  <si>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</si>
  <si>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</si>
  <si>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</si>
  <si>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</si>
  <si>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</si>
  <si>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</si>
  <si>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</si>
  <si>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</si>
  <si>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</si>
  <si>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</si>
  <si>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</si>
  <si>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</si>
  <si>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</si>
  <si>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</si>
  <si>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</si>
  <si>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</si>
  <si>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</si>
  <si>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</si>
  <si>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</si>
  <si>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</si>
  <si>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</si>
  <si>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</si>
  <si>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</si>
  <si>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</si>
  <si>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</si>
  <si>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</si>
  <si>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</si>
  <si>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</si>
  <si>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</si>
  <si>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Dextrose Monohydrate</t>
  </si>
  <si>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</si>
  <si>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</si>
  <si>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</si>
  <si>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</si>
  <si>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</si>
  <si>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</si>
  <si>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</si>
  <si>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</si>
  <si>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</si>
  <si>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</si>
  <si>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</si>
  <si>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</si>
  <si>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</si>
  <si>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</si>
  <si>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</si>
  <si>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</si>
  <si>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</si>
  <si>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</si>
  <si>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</si>
  <si>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</si>
  <si>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</si>
  <si>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</si>
  <si>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</si>
  <si>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</si>
  <si>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</si>
  <si>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</si>
  <si>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</si>
  <si>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</si>
  <si>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</si>
  <si>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</si>
  <si>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</si>
  <si>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</si>
  <si>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</si>
  <si>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</si>
  <si>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</si>
  <si>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</si>
  <si>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</si>
  <si>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</si>
  <si>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</si>
  <si>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</si>
  <si>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</si>
  <si>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</si>
  <si>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</si>
  <si>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</si>
  <si>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</si>
  <si>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</si>
  <si>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</si>
  <si>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</si>
  <si>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</si>
  <si>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</si>
  <si>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</si>
  <si>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</si>
  <si>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</si>
  <si>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</si>
  <si>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</si>
  <si>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</si>
  <si>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</si>
  <si>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</si>
  <si>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</si>
  <si>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</si>
  <si>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</si>
  <si>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</si>
  <si>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</si>
  <si>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</si>
  <si>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</si>
  <si>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</si>
  <si>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</si>
  <si>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</si>
  <si>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</si>
  <si>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</si>
  <si>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</si>
  <si>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</si>
  <si>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</si>
  <si>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</si>
  <si>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</si>
  <si>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</si>
  <si>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</si>
  <si>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</si>
  <si>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</si>
  <si>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</si>
  <si>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</si>
  <si>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</si>
  <si>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</si>
  <si>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</si>
  <si>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 of Steps Required</t>
  </si>
  <si>
    <t>Mash Variables &amp; Steps</t>
  </si>
  <si>
    <t>Name</t>
  </si>
  <si>
    <t>Variable/Step</t>
  </si>
  <si>
    <t>Time</t>
  </si>
  <si>
    <t>Other Ingredients/Additions</t>
  </si>
  <si>
    <t>ABV:</t>
  </si>
  <si>
    <t>BEER-N-BBQ by Larry</t>
  </si>
  <si>
    <t xml:space="preserve">For Video Tutorial, see: </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</si>
  <si>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</si>
  <si>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</si>
  <si>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</si>
  <si>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</si>
  <si>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</si>
  <si>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</si>
  <si>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</si>
  <si>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</si>
  <si>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</si>
  <si>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</si>
  <si>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</si>
  <si>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</si>
  <si>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</si>
  <si>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</si>
  <si>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</si>
  <si>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</si>
  <si>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</si>
  <si>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</si>
  <si>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</si>
  <si>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</si>
  <si>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1.7°-2.8°</t>
  </si>
  <si>
    <t>High lactic acid. For lambics, sour mash beers, Irish stout, pilsners and wheats.</t>
  </si>
  <si>
    <t>35°</t>
  </si>
  <si>
    <t>Roasted malt used in British milds, old ales, brown ales, nut brown ales.</t>
  </si>
  <si>
    <t>65°</t>
  </si>
  <si>
    <t>Imparts a dry, biscuit flavor. Use in porters, brown, nut brown and Belgian ales.</t>
  </si>
  <si>
    <t>Aromatic Malt</t>
  </si>
  <si>
    <t>20°-26°</t>
  </si>
  <si>
    <t>Imparts a big malt aroma. Use in brown ales, Belgian dubbels and tripels.</t>
  </si>
  <si>
    <t>Belgian Candi Sugar (clear)</t>
  </si>
  <si>
    <t>0.5°</t>
  </si>
  <si>
    <t>Smooth taste, good head retention, sweet aroma and high gravity without being apparent. Use in Belgian and holiday ales. Use clear for tripels.</t>
  </si>
  <si>
    <t>Belgian Pale Ale Malt</t>
  </si>
  <si>
    <t>2.7°-3.8°</t>
  </si>
  <si>
    <t>Use as a base malt for any Belgian style beer with full body.</t>
  </si>
  <si>
    <t>Biscuit Malt</t>
  </si>
  <si>
    <t>23°-25°</t>
  </si>
  <si>
    <t>Warm baked biscuit flavor and aroma. Increases body. Use in Belgian beers.</t>
  </si>
  <si>
    <t>Black Barley</t>
  </si>
  <si>
    <t>525°</t>
  </si>
  <si>
    <t>Imparts dryness. Unmalted; use in porters and dry stouts.</t>
  </si>
  <si>
    <t>500°</t>
  </si>
  <si>
    <t>Provides color and sharp flavor in stouts and porters.</t>
  </si>
  <si>
    <t>500°-600°</t>
  </si>
  <si>
    <t>Dry, burnt, chalky character. Use in porters, stouts, brown ales and dark lagers.</t>
  </si>
  <si>
    <t>Brown Malt</t>
  </si>
  <si>
    <t>Brown Sugar</t>
  </si>
  <si>
    <t>40°</t>
  </si>
  <si>
    <t>Imparts rich, sweet flavor. Use in Scottish ales, old ales and holiday beers.</t>
  </si>
  <si>
    <t>Candi Sugar (amber)</t>
  </si>
  <si>
    <t>75°</t>
  </si>
  <si>
    <t>Smooth taste, good head retention, sweet aroma and high gravity without being apparent. Use in Belgian and holiday ales. Use amber for dubbels.</t>
  </si>
  <si>
    <t>Candi Sugar (dark)</t>
  </si>
  <si>
    <t>275°</t>
  </si>
  <si>
    <t>Smooth taste, good head retention, sweet aroma and high gravity without being apparent. Use in Belgian and holiday ales. Use dark in brown beer and strong golden ales.</t>
  </si>
  <si>
    <t>Cara Wheat® Malt</t>
  </si>
  <si>
    <t>38°-53°</t>
  </si>
  <si>
    <t>For dark ales, hefeweizen, dunkelweizen, wheat bocks and double bocks.</t>
  </si>
  <si>
    <t>CaraAmber® (crystal malt)</t>
  </si>
  <si>
    <t>23°-31°</t>
  </si>
  <si>
    <t>Adds aroma and color intensity to darker beers. For use in alts, bocks, stouts and porters.</t>
  </si>
  <si>
    <t>CaraAroma® (crystal malt)</t>
  </si>
  <si>
    <t>130°-170°</t>
  </si>
  <si>
    <t>Imparts a deep red color, adds body and malt aroma. For use in bocks, porters, stouts and ambers.</t>
  </si>
  <si>
    <t>Carafa I ®</t>
  </si>
  <si>
    <t>300°-340°</t>
  </si>
  <si>
    <t>Gives deep aroma and color to dark beers, bocks, stout, alt and schwarzbier.</t>
  </si>
  <si>
    <t>Carafa II ®</t>
  </si>
  <si>
    <t>375°-450°</t>
  </si>
  <si>
    <t>Carafa I, II and III also are available de-husked. Adds aroma, color and body.</t>
  </si>
  <si>
    <t>Carafa III ®</t>
  </si>
  <si>
    <t>490°-560°</t>
  </si>
  <si>
    <t>CaraFoam® (crystal malt)</t>
  </si>
  <si>
    <t>1.3°-2.3°</t>
  </si>
  <si>
    <t>Improves head retention and body.</t>
  </si>
  <si>
    <t>CaraHell® (crystal malt)</t>
  </si>
  <si>
    <t>8°-12°</t>
  </si>
  <si>
    <t>For light colored beer for body; hefeweizen, pale ale, golden ale, Oktoberfest.</t>
  </si>
  <si>
    <t>Caramalt</t>
  </si>
  <si>
    <t>30°-37°</t>
  </si>
  <si>
    <t>NA</t>
  </si>
  <si>
    <t>Made from green malt, imparts a red hue and contributes to flavor and foam stability.</t>
  </si>
  <si>
    <t>Caramel Pils</t>
  </si>
  <si>
    <t>6°-9°</t>
  </si>
  <si>
    <t>A very light crystal malt that lends body, smoother mouth-feel and foam stability.</t>
  </si>
  <si>
    <t>Caramunich Malt</t>
  </si>
  <si>
    <t>56°</t>
  </si>
  <si>
    <t>Caramel, full flavor, copper color. For Belgian ales, German smoked and bocks.</t>
  </si>
  <si>
    <t>CaraMunich Malt I ®</t>
  </si>
  <si>
    <t>30°-38°</t>
  </si>
  <si>
    <t>Provides body. For Oktoberfest, bock, porter, stout, red, amber and brown ales.</t>
  </si>
  <si>
    <t>CaraMunich Malt II ®</t>
  </si>
  <si>
    <t>42°-50°</t>
  </si>
  <si>
    <t>CaraMunich Malt III ®</t>
  </si>
  <si>
    <t>53°-60°</t>
  </si>
  <si>
    <t>CaraMunich Malt III is dark crystal.</t>
  </si>
  <si>
    <t>Cara-Pils Dextrin</t>
  </si>
  <si>
    <t>10°-14°</t>
  </si>
  <si>
    <t>Adds body; aids head retention. For porters, stouts and heavier bodied beers.</t>
  </si>
  <si>
    <t>CaraRed® (crystal malt)</t>
  </si>
  <si>
    <t>15°-20°</t>
  </si>
  <si>
    <t>Provides body and a deep red color for use in red ales, lagers, Scottish ales and alts.</t>
  </si>
  <si>
    <t>Caravienne Malt</t>
  </si>
  <si>
    <t>21°-22°</t>
  </si>
  <si>
    <t>Belgian light crystal malt. Used in lighter Abbey or Trappist style ales.</t>
  </si>
  <si>
    <t>300°-380°</t>
  </si>
  <si>
    <t>Will add a deep red color and nutty/roasted taste.</t>
  </si>
  <si>
    <t>350°</t>
  </si>
  <si>
    <t>Use in all types to adjust color and add nutty, toasted flavor. Chocolate flavor.</t>
  </si>
  <si>
    <t>395°-475°</t>
  </si>
  <si>
    <t>Nutty, toasted flavor, brown color. Use in brown ales, porters, stouts and bocks.</t>
  </si>
  <si>
    <t>Chocolate Rye Malt</t>
  </si>
  <si>
    <t>190°-300°</t>
  </si>
  <si>
    <t>Enhances aroma of dark ales and improves color. For dunkel rye wheat and ale.</t>
  </si>
  <si>
    <t>Chocolate Wheat Malt</t>
  </si>
  <si>
    <t>Intensifies aroma; improves color. For dark ales, alt, dark wheat, stout and porter.</t>
  </si>
  <si>
    <t>Corn Sugar</t>
  </si>
  <si>
    <t>1°</t>
  </si>
  <si>
    <t>Use in priming beer or in extract recipes where flaked maize would be used in a mash.</t>
  </si>
  <si>
    <t>10°</t>
  </si>
  <si>
    <t>Sweet, mild caramel flavor and a golden color. Use in light lagers and light ales.</t>
  </si>
  <si>
    <t>120°</t>
  </si>
  <si>
    <t>Pronounced caramel flavor and a red color. For stouts, porters and black beers.</t>
  </si>
  <si>
    <t>20°</t>
  </si>
  <si>
    <t>30°</t>
  </si>
  <si>
    <t>55°-60°</t>
  </si>
  <si>
    <t>Sweet caramel flavor, adds mouthfeel and head retention. For pale or amber ales.</t>
  </si>
  <si>
    <t>60°</t>
  </si>
  <si>
    <t>Sweet caramel flavor, deep golden to red color. For dark amber and brown ales.</t>
  </si>
  <si>
    <t>80°</t>
  </si>
  <si>
    <t>Sweet, smooth caramel flavor and a red to deep red color. For porters, old ales.</t>
  </si>
  <si>
    <t>90°</t>
  </si>
  <si>
    <t>Dark Brown Sugar</t>
  </si>
  <si>
    <t>Dark Crystal Malt</t>
  </si>
  <si>
    <t>145°-188°</t>
  </si>
  <si>
    <t>Sweet caramel flavor, mouthfeel. For porters, stouts, old ales and any dark ale.</t>
  </si>
  <si>
    <t>Dark Munich Malt</t>
  </si>
  <si>
    <t>8°-10°</t>
  </si>
  <si>
    <t>Enhances body and aroma. Stout, schwarzbier, brown ale, dark and amber ales.</t>
  </si>
  <si>
    <t>De-Bittered Black Malt</t>
  </si>
  <si>
    <t>Will add a deep black color without the astringent flavor of black malt.</t>
  </si>
  <si>
    <t>Demerara Sugar</t>
  </si>
  <si>
    <t>Imparts mellow, sweet flavor. Use in English ales.</t>
  </si>
  <si>
    <t>Dextrin Malt (carapils)</t>
  </si>
  <si>
    <t>1.5°</t>
  </si>
  <si>
    <t>Balances body and flavor without adding color, aids in head retention. For any beer.</t>
  </si>
  <si>
    <t>Dextrose (glucose)</t>
  </si>
  <si>
    <t>Imparts a mild sweet taste and smoothness. Use in English beers.</t>
  </si>
  <si>
    <t>Dry Malt Extract</t>
  </si>
  <si>
    <t>Varies</t>
  </si>
  <si>
    <t>Extra light (2.5°), Light (3.5°), Amber (10°), Dark (30°), Wheat (3°)</t>
  </si>
  <si>
    <t>Flaked Barley</t>
  </si>
  <si>
    <t>Helps head retention, imparts creamy smoothness. For porters and stouts.</t>
  </si>
  <si>
    <t>Flaked Maize</t>
  </si>
  <si>
    <t>Lightens body and color. For light American pilsners and ales.</t>
  </si>
  <si>
    <t>Flaked Oats</t>
  </si>
  <si>
    <t>Adds body and creamy head. For stouts and oat ales.</t>
  </si>
  <si>
    <t>Flaked Rye</t>
  </si>
  <si>
    <t>2°</t>
  </si>
  <si>
    <t>Imparts a dry, crisp character. Use in rye beers.</t>
  </si>
  <si>
    <t>Flaked Wheat</t>
  </si>
  <si>
    <t>Imparts a wheat flavor, hazy color. For wheat and Belgian white beers.</t>
  </si>
  <si>
    <t>Franco-Belges Kiln Coffee Malt</t>
  </si>
  <si>
    <t>150°-180°</t>
  </si>
  <si>
    <t>A unique malt which imparts a coffee flavor.</t>
  </si>
  <si>
    <t>Gambrinus Honey Malt</t>
  </si>
  <si>
    <t>25°</t>
  </si>
  <si>
    <t>Nutty honey flavor. For brown ales, Belgian wheats, bocks and many other styles.</t>
  </si>
  <si>
    <t>Grits</t>
  </si>
  <si>
    <t>1°-1.5°</t>
  </si>
  <si>
    <t>Imparts a corn/grain taste. Use in American lagers.</t>
  </si>
  <si>
    <t>Honey</t>
  </si>
  <si>
    <t>Imparts sweet and dry taste. For honey and brown ales. Also: specialty ales.</t>
  </si>
  <si>
    <t>Invert Sugar</t>
  </si>
  <si>
    <t>Increases alcohol. Use in some Belgian or English ales. Use as an adjunct for priming. Made from sucrose. No dextrins. Use 1 cup for priming.</t>
  </si>
  <si>
    <t>Kölsch Malt</t>
  </si>
  <si>
    <t>4.5°</t>
  </si>
  <si>
    <t>Traditionally for Kölsch-style beers, can be used in a variety of German and American styled beers. Adds a light, sweet, biscuity flavor.</t>
  </si>
  <si>
    <t>Lactose</t>
  </si>
  <si>
    <t>Adds sweetness and body. Use in sweet or milk stouts.</t>
  </si>
  <si>
    <t>Lager Malt</t>
  </si>
  <si>
    <t>1.6°</t>
  </si>
  <si>
    <t>Used to make light colored and flavored lagers.</t>
  </si>
  <si>
    <t>Light Munich Malt</t>
  </si>
  <si>
    <t>5°-6°</t>
  </si>
  <si>
    <t>For a desired malty, nutty flavor. Lagers, Oktoberfests and bock beer.</t>
  </si>
  <si>
    <t>Lyle's Golden Syrup</t>
  </si>
  <si>
    <t>0°</t>
  </si>
  <si>
    <t>Increases alcohol without flavor. Liquid Invert Sugar. Use in English and Belgian (Chimay) ales.</t>
  </si>
  <si>
    <t>Malto Dextrin</t>
  </si>
  <si>
    <t>Adds body and mouthfeel. For all extract beers. Does not ferment.</t>
  </si>
  <si>
    <t>Maple Sap</t>
  </si>
  <si>
    <t>3°</t>
  </si>
  <si>
    <t>Crisp dry, earthy flavor. Use in pale ales, porters and maple ales.</t>
  </si>
  <si>
    <t>Maple Syrup</t>
  </si>
  <si>
    <t>Imparts a dry, woodsy flavor if used in the boil. If beer is bottled with it, it gives it a smooth sweet, maple taste. Use in maple ales, pale ales, brown ales and porters.</t>
  </si>
  <si>
    <t>Maris Otter Pale Malt</t>
  </si>
  <si>
    <t>Premium base malt for any beer. Good for pale ales.</t>
  </si>
  <si>
    <t>Melanoidin Malt</t>
  </si>
  <si>
    <t>For amber lagers and ales, dark lagers and ales, Scottish &amp; red ales.</t>
  </si>
  <si>
    <t>Mild Ale Malt</t>
  </si>
  <si>
    <t>2.3°-2.7°</t>
  </si>
  <si>
    <t>Dry, nutty malty flavor. Promotes body. Use in English mild ales.</t>
  </si>
  <si>
    <t>Molasses</t>
  </si>
  <si>
    <t>Imparts strong sweet flavor. Use in stouts and porters.</t>
  </si>
  <si>
    <t>Munich Malt</t>
  </si>
  <si>
    <t>Sweet, toasted flavor and aroma. For Oktoberfests and malty styles.</t>
  </si>
  <si>
    <t>Oat Malt</t>
  </si>
  <si>
    <t>4°</t>
  </si>
  <si>
    <t>Enhances body and flavor. For winter beers, stouts, porters and other robust beers.</t>
  </si>
  <si>
    <t>Pale Ale</t>
  </si>
  <si>
    <t>2.2°</t>
  </si>
  <si>
    <t>Moderate malt flavor. Used to produce traditional English and Scottish style ales.</t>
  </si>
  <si>
    <t>Pale Chocolate Malt</t>
  </si>
  <si>
    <t>180°-250°</t>
  </si>
  <si>
    <t>Less roasted than regular chocolate malt, adds color and mild chocolate/coffee flavors to porters, milds &amp; stouts.</t>
  </si>
  <si>
    <t>1.8°</t>
  </si>
  <si>
    <t>Smooth, less grainy, moderate malt flavor. Basic malt for all beer styles.</t>
  </si>
  <si>
    <t>Moderate malt flavor. Basic malt for all beer styles.</t>
  </si>
  <si>
    <t>Pale Wheat</t>
  </si>
  <si>
    <t>1.2°-2°</t>
  </si>
  <si>
    <t>Can be used in amounts of up to 70% of grist to create many wheat beer styles and aid in head retention in smaller amounts.</t>
  </si>
  <si>
    <t>Peat Smoked Malt</t>
  </si>
  <si>
    <t>2.8°</t>
  </si>
  <si>
    <t>Imparts a robust smoky flavor and aroma. For Scottish ales and wee heavies.</t>
  </si>
  <si>
    <t>Pilsen Malt</t>
  </si>
  <si>
    <t>Light color, malty flavor. For pilsners, dubbels, tripels, whites and specialty ales.</t>
  </si>
  <si>
    <t>Rauch Smoked Malt</t>
  </si>
  <si>
    <t>2°-4°</t>
  </si>
  <si>
    <t>For rauchbier, kellerbier, smoked porters, Scottish ales and barleywines.</t>
  </si>
  <si>
    <t>Rice Solids</t>
  </si>
  <si>
    <t>Lightens flavor without taste. Use in American and Asian lagers.</t>
  </si>
  <si>
    <t>300°</t>
  </si>
  <si>
    <t>Sweet, grainy, coffee flavor and a red to deep brown color. For porters and stouts.</t>
  </si>
  <si>
    <t>Dry, roasted flavor, amber color. For stouts, porters and Scottish ales.</t>
  </si>
  <si>
    <t>Roasted Wheat</t>
  </si>
  <si>
    <t>Slightly roasted wheat which imparts a bready, nut-like quality.</t>
  </si>
  <si>
    <t>Rye Malt</t>
  </si>
  <si>
    <t>2.8°-4.3°</t>
  </si>
  <si>
    <t>Dry character. Can use as a base malt. For seasonal beers, roggenbier and ales.</t>
  </si>
  <si>
    <t>Scotmalt Golden Promise</t>
  </si>
  <si>
    <t>2.4°</t>
  </si>
  <si>
    <t>Scottish pale ale malt; base malt for all Scottish beers.</t>
  </si>
  <si>
    <t>Special B Malt</t>
  </si>
  <si>
    <t>130°-220°</t>
  </si>
  <si>
    <t>Extreme caramel aroma and flavor. For dark Abbey beers and other dark beers.</t>
  </si>
  <si>
    <t>Special Roast</t>
  </si>
  <si>
    <t>50°</t>
  </si>
  <si>
    <t>Provides a deep golden to brown color for ales. Use in all darker ales.</t>
  </si>
  <si>
    <t>Sucrose (white table sugar)</t>
  </si>
  <si>
    <t>Increases alcohol. Use in Australian lagers and English bitters.</t>
  </si>
  <si>
    <t>Extra Light (3.5°), Light (3.5 -5°), Amber (10°), Dark (30°), Wheat (2°).</t>
  </si>
  <si>
    <t>Toasted Pale Malt</t>
  </si>
  <si>
    <t>Imparts nutty flavor and aroma. Use in IPAs and Scottish ales.</t>
  </si>
  <si>
    <t>Torrified Wheat</t>
  </si>
  <si>
    <t>Puffed wheat created by high heat. Use in pale ales, bitters and milds.</t>
  </si>
  <si>
    <t>Treacle</t>
  </si>
  <si>
    <t>100°</t>
  </si>
  <si>
    <t>Imparts intense, sweet flavor. A British mixture of molasses, invert sugar and golden syrup (corn syrup). Use in dark English ales.</t>
  </si>
  <si>
    <t>Victory Malt</t>
  </si>
  <si>
    <t>Provides a deep golden to brown color. Use in nut brown ales, IPAs and Scottish ales.</t>
  </si>
  <si>
    <t>Vienna Malt</t>
  </si>
  <si>
    <t>Wheat Malt</t>
  </si>
  <si>
    <t>Wheat Malt Dark</t>
  </si>
  <si>
    <t>6°-8°</t>
  </si>
  <si>
    <t>Wheat Malt Light</t>
  </si>
  <si>
    <t>1.5°-2°</t>
  </si>
  <si>
    <t>Typical top fermented aroma, produces superb wheat beers.</t>
  </si>
  <si>
    <t>White Wheat Malt</t>
  </si>
  <si>
    <t>Imparts a malty flavor. For American wheat beers, wheat bock and doppel bock.</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</si>
  <si>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</si>
  <si>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</si>
  <si>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</si>
  <si>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</si>
  <si>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</si>
  <si>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</si>
  <si>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</si>
  <si>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</si>
  <si>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</si>
  <si>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</si>
  <si>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</si>
  <si>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</si>
  <si>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</si>
  <si>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</si>
  <si>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</si>
  <si>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</si>
  <si>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</si>
  <si>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</si>
  <si>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</si>
  <si>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</si>
  <si>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</si>
  <si>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</si>
  <si>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</si>
  <si>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</si>
  <si>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</si>
  <si>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</si>
  <si>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</si>
  <si>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</si>
  <si>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</si>
  <si>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</si>
  <si>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</si>
  <si>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</si>
  <si>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</si>
  <si>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</si>
  <si>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</si>
  <si>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</si>
  <si>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</si>
  <si>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</si>
  <si>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</si>
  <si>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</si>
  <si>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</si>
  <si>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</si>
  <si>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</si>
  <si>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</si>
  <si>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</si>
  <si>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</si>
  <si>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</si>
  <si>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</si>
  <si>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</si>
  <si>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</si>
  <si>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</si>
  <si>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</si>
  <si>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</si>
  <si>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</si>
  <si>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</si>
  <si>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</si>
  <si>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</si>
  <si>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</si>
  <si>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</si>
  <si>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</si>
  <si>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</si>
  <si>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</si>
  <si>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</si>
  <si>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</si>
  <si>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</si>
  <si>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</si>
  <si>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</si>
  <si>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</si>
  <si>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</si>
  <si>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</si>
  <si>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</si>
  <si>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</si>
  <si>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</si>
  <si>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</si>
  <si>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</si>
  <si>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</si>
  <si>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</si>
  <si>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</si>
  <si>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</si>
  <si>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</si>
  <si>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</si>
  <si>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</si>
  <si>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</si>
  <si>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</si>
  <si>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</si>
  <si>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</si>
  <si>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</si>
  <si>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</si>
  <si>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</si>
  <si>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</si>
  <si>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</si>
  <si>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</si>
  <si>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</si>
  <si>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</si>
  <si>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</si>
  <si>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</si>
  <si>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</si>
  <si>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</si>
  <si>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</si>
  <si>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</si>
  <si>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</si>
  <si>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</si>
  <si>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</si>
  <si>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</si>
  <si>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</si>
  <si>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</si>
  <si>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</si>
  <si>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</si>
  <si>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</si>
  <si>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</si>
  <si>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</si>
  <si>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</si>
  <si>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</si>
  <si>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</si>
  <si>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</si>
  <si>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</si>
  <si>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</si>
  <si>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</si>
  <si>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</si>
  <si>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</si>
  <si>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</si>
  <si>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</si>
  <si>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</si>
  <si>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</si>
  <si>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</si>
  <si>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</si>
  <si>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</si>
  <si>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</si>
  <si>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</si>
  <si>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</si>
  <si>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</si>
  <si>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</si>
  <si>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</si>
  <si>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</si>
  <si>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</si>
  <si>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</si>
  <si>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</si>
  <si>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</si>
  <si>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</si>
  <si>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</si>
  <si>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</si>
  <si>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</si>
  <si>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</si>
  <si>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</si>
  <si>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</si>
  <si>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</si>
  <si>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</si>
  <si>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</si>
  <si>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</si>
  <si>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</si>
  <si>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</si>
  <si>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</si>
  <si>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</si>
  <si>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</si>
  <si>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</si>
  <si>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</si>
  <si>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</si>
  <si>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</si>
  <si>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</si>
  <si>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</si>
  <si>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</si>
  <si>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</si>
  <si>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</si>
  <si>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</si>
  <si>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</si>
  <si>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</si>
  <si>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</si>
  <si>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</si>
  <si>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</si>
  <si>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</si>
  <si>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</si>
  <si>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</si>
  <si>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</si>
  <si>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</si>
  <si>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</si>
  <si>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</si>
  <si>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</si>
  <si>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</si>
  <si>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</si>
  <si>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</si>
  <si>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</si>
  <si>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</si>
  <si>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</si>
  <si>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</si>
  <si>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</si>
  <si>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</si>
  <si>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</si>
  <si>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</si>
  <si>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</si>
  <si>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</si>
  <si>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</si>
  <si>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</si>
  <si>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</si>
  <si>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</si>
  <si>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</si>
  <si>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</si>
  <si>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</si>
  <si>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</si>
  <si>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</si>
  <si>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</si>
  <si>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</si>
  <si>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</si>
  <si>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</si>
  <si>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</si>
  <si>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</si>
  <si>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</si>
  <si>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</si>
  <si>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</si>
  <si>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</si>
  <si>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</si>
  <si>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</si>
  <si>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</si>
  <si>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</si>
  <si>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</si>
  <si>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</si>
  <si>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</si>
  <si>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</si>
  <si>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</si>
  <si>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</si>
  <si>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</si>
  <si>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</si>
  <si>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</si>
  <si>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</si>
  <si>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</si>
  <si>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</si>
  <si>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</si>
  <si>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</si>
  <si>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</si>
  <si>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</si>
  <si>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</si>
  <si>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</si>
  <si>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</si>
  <si>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</si>
  <si>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</si>
  <si>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</si>
  <si>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</si>
  <si>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</si>
  <si>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</si>
  <si>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</si>
  <si>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</si>
  <si>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</si>
  <si>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</si>
  <si>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</si>
  <si>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</si>
  <si>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</si>
  <si>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</si>
  <si>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</si>
  <si>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</si>
  <si>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</si>
  <si>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</si>
  <si>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</si>
  <si>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</si>
  <si>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</si>
  <si>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</si>
  <si>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</si>
  <si>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</si>
  <si>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</si>
  <si>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</si>
  <si>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</si>
  <si>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</si>
  <si>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</si>
  <si>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</si>
  <si>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</si>
  <si>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</si>
  <si>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</si>
  <si>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</si>
  <si>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</si>
  <si>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</si>
  <si>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</si>
  <si>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</si>
  <si>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</si>
  <si>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</si>
  <si>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</si>
  <si>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</si>
  <si>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</si>
  <si>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</si>
  <si>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WGV (Whitbread Golding Variety) (U.K.)</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</si>
  <si>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</si>
  <si>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</si>
  <si>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</si>
  <si>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</si>
  <si>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</si>
  <si>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</si>
  <si>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</si>
  <si>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</si>
  <si>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</si>
  <si>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</si>
  <si>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</si>
  <si>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</si>
  <si>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</si>
  <si>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</si>
  <si>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</si>
  <si>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</si>
  <si>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</si>
  <si>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</si>
  <si>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</si>
  <si>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</si>
  <si>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</si>
  <si>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</si>
  <si>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</si>
  <si>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</si>
  <si>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</si>
  <si>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</si>
  <si>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</si>
  <si>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</si>
  <si>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</si>
  <si>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</si>
  <si>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</si>
  <si>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</si>
  <si>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</si>
  <si>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</si>
  <si>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</si>
  <si>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</si>
  <si>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</si>
  <si>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</si>
  <si>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</si>
  <si>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</si>
  <si>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</si>
  <si>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</si>
  <si>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</si>
  <si>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</si>
  <si>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</si>
  <si>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</si>
  <si>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</si>
  <si>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</si>
  <si>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</si>
  <si>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</si>
  <si>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</si>
  <si>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</si>
  <si>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</si>
  <si>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</si>
  <si>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</si>
  <si>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</si>
  <si>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</si>
  <si>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</si>
  <si>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</si>
  <si>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</si>
  <si>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</si>
  <si>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</si>
  <si>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</si>
  <si>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</si>
  <si>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</si>
  <si>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</si>
  <si>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</si>
  <si>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</si>
  <si>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</si>
  <si>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</si>
  <si>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</si>
  <si>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</si>
  <si>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</si>
  <si>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</si>
  <si>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</si>
  <si>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</si>
  <si>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</si>
  <si>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</si>
  <si>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</si>
  <si>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</si>
  <si>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</si>
  <si>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</si>
  <si>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</si>
  <si>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</si>
  <si>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</si>
  <si>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</si>
  <si>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</si>
  <si>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</si>
  <si>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</si>
  <si>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</si>
  <si>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</si>
  <si>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</si>
  <si>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</si>
  <si>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</si>
  <si>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</si>
  <si>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</si>
  <si>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</si>
  <si>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</si>
  <si>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</si>
  <si>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</si>
  <si>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</si>
  <si>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</si>
  <si>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</si>
  <si>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</si>
  <si>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</si>
  <si>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</si>
  <si>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</si>
  <si>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</si>
  <si>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</si>
  <si>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</si>
  <si>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</si>
  <si>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</si>
  <si>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</si>
  <si>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</si>
  <si>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</si>
  <si>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</si>
  <si>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</si>
  <si>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</si>
  <si>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</si>
  <si>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</si>
  <si>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</si>
  <si>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</si>
  <si>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</si>
  <si>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</si>
  <si>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</si>
  <si>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</si>
  <si>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</si>
  <si>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</si>
  <si>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</si>
  <si>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</si>
  <si>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</si>
  <si>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</si>
  <si>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</si>
  <si>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</si>
  <si>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</si>
  <si>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</si>
  <si>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</si>
  <si>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</si>
  <si>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</si>
  <si>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</si>
  <si>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</si>
  <si>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</si>
  <si>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</si>
  <si>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</si>
  <si>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</si>
  <si>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</si>
  <si>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</si>
  <si>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</si>
  <si>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</si>
  <si>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</si>
  <si>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</si>
  <si>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</si>
  <si>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</si>
  <si>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</si>
  <si>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</si>
  <si>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</si>
  <si>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</si>
  <si>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</si>
  <si>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</si>
  <si>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</si>
  <si>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</si>
  <si>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</si>
  <si>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</si>
  <si>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</si>
  <si>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</si>
  <si>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</si>
  <si>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</si>
  <si>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</si>
  <si>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</si>
  <si>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</si>
  <si>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</si>
  <si>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</si>
  <si>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</si>
  <si>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</si>
  <si>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</si>
  <si>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</si>
  <si>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</si>
  <si>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</si>
  <si>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</si>
  <si>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</si>
  <si>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</si>
  <si>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</si>
  <si>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</si>
  <si>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</si>
  <si>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</si>
  <si>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</si>
  <si>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</si>
  <si>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</si>
  <si>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</si>
  <si>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</si>
  <si>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</si>
  <si>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</si>
  <si>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</si>
  <si>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</si>
  <si>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</si>
  <si>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</si>
  <si>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</si>
  <si>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</si>
  <si>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</si>
  <si>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</si>
  <si>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</si>
  <si>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</si>
  <si>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</si>
  <si>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</si>
  <si>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</si>
  <si>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</si>
  <si>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</si>
  <si>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</si>
  <si>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</si>
  <si>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</si>
  <si>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</si>
  <si>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</si>
  <si>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</si>
  <si>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</si>
  <si>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</si>
  <si>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</si>
  <si>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</si>
  <si>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</si>
  <si>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</si>
  <si>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</si>
  <si>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</si>
  <si>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</si>
  <si>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</si>
  <si>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</si>
  <si>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</si>
  <si>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</si>
  <si>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</si>
  <si>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</si>
  <si>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</si>
  <si>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</si>
  <si>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</si>
  <si>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</si>
  <si>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</si>
  <si>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</si>
  <si>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</si>
  <si>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</si>
  <si>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</si>
  <si>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</si>
  <si>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</si>
  <si>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</si>
  <si>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</si>
  <si>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</si>
  <si>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</si>
  <si>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</si>
  <si>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</si>
  <si>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</si>
  <si>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</si>
  <si>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</si>
  <si>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</si>
  <si>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</si>
  <si>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</si>
  <si>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</si>
  <si>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</si>
  <si>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</si>
  <si>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</si>
  <si>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</si>
  <si>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</si>
  <si>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</si>
  <si>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</si>
  <si>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</si>
  <si>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</si>
  <si>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</si>
  <si>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</si>
  <si>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</si>
  <si>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</si>
  <si>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</si>
  <si>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</si>
  <si>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</si>
  <si>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</si>
  <si>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</si>
  <si>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</si>
  <si>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</si>
  <si>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</si>
  <si>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</si>
  <si>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</si>
  <si>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</si>
  <si>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</si>
  <si>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</si>
  <si>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</si>
  <si>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</si>
  <si>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</si>
  <si>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</si>
  <si>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</si>
  <si>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</si>
  <si>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</si>
  <si>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</si>
  <si>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</si>
  <si>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</si>
  <si>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</si>
  <si>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</si>
  <si>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</si>
  <si>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</si>
  <si>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</si>
  <si>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</si>
  <si>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</si>
  <si>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</si>
  <si>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</si>
  <si>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</si>
  <si>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</si>
  <si>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</si>
  <si>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</si>
  <si>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</si>
  <si>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</si>
  <si>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</si>
  <si>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</si>
  <si>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</si>
  <si>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</si>
  <si>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</si>
  <si>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</si>
  <si>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</si>
  <si>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</si>
  <si>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</si>
  <si>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</si>
  <si>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</si>
  <si>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</si>
  <si>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</si>
  <si>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</si>
  <si>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</si>
  <si>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</si>
  <si>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</si>
  <si>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</si>
  <si>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</si>
  <si>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</si>
  <si>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Lovibond</t>
  </si>
  <si>
    <t>Max S.G.</t>
  </si>
  <si>
    <t>Amber Malt, 35°</t>
  </si>
  <si>
    <t>Amber Malt, 65°</t>
  </si>
  <si>
    <t>Black Patent Malt, 500°</t>
  </si>
  <si>
    <t>Black Patent Malt, 500°-600°</t>
  </si>
  <si>
    <t>Chocolate Malt, 300°-380°</t>
  </si>
  <si>
    <t>Chocolate Malt, 395°-475°</t>
  </si>
  <si>
    <t>Chocolate Malt, 350°</t>
  </si>
  <si>
    <t>Light flavor and creamy head. For American weizenbier, weissbier, dunkelweiss, wheat beers, stouts, doppelbocks, and alt beers</t>
  </si>
  <si>
    <t>Roasted Barley, 300°L</t>
  </si>
  <si>
    <t>Roasted Barley, 500°L</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</si>
  <si>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</si>
  <si>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</si>
  <si>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</si>
  <si>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</si>
  <si>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</si>
  <si>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</si>
  <si>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</si>
  <si>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</si>
  <si>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</si>
  <si>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</si>
  <si>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</si>
  <si>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</si>
  <si>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</si>
  <si>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</si>
  <si>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</si>
  <si>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</si>
  <si>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</si>
  <si>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</si>
  <si>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</si>
  <si>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</si>
  <si>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</si>
  <si>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</si>
  <si>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</si>
  <si>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</si>
  <si>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</si>
  <si>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</si>
  <si>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</si>
  <si>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Ingredient</t>
  </si>
  <si>
    <t>European lager malt kilned slightly more than Pilsner malt. Full bodied, golden color.  Increases malty flavor, provides balance. Use in Vienna, Märzen and Oktoberfest.</t>
  </si>
  <si>
    <t>3.2°-4°</t>
  </si>
  <si>
    <t>Max Yield S.G.</t>
  </si>
  <si>
    <t>Pale Malt, Brewers 2-row</t>
  </si>
  <si>
    <t>Pale Malt, Brewers 6-row</t>
  </si>
  <si>
    <t>Liquid Malt Extract</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</si>
  <si>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</si>
  <si>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</si>
  <si>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</si>
  <si>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</si>
  <si>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</si>
  <si>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</si>
  <si>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</si>
  <si>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</si>
  <si>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</si>
  <si>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</si>
  <si>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</si>
  <si>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</si>
  <si>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</si>
  <si>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</si>
  <si>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</si>
  <si>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</si>
  <si>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</si>
  <si>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</si>
  <si>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</si>
  <si>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</si>
  <si>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</si>
  <si>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</si>
  <si>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</si>
  <si>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</si>
  <si>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</si>
  <si>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</si>
  <si>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</si>
  <si>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</si>
  <si>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</si>
  <si>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</si>
  <si>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</si>
  <si>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</si>
  <si>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</si>
  <si>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</si>
  <si>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</si>
  <si>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</si>
  <si>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</si>
  <si>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</si>
  <si>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</si>
  <si>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</si>
  <si>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</si>
  <si>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</si>
  <si>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</si>
  <si>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</si>
  <si>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</si>
  <si>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</si>
  <si>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</si>
  <si>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</si>
  <si>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</si>
  <si>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</si>
  <si>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</si>
  <si>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</si>
  <si>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</si>
  <si>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</si>
  <si>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</si>
  <si>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</si>
  <si>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</si>
  <si>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</si>
  <si>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</si>
  <si>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</si>
  <si>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</si>
  <si>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</si>
  <si>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</si>
  <si>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</si>
  <si>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</si>
  <si>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</si>
  <si>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</si>
  <si>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</si>
  <si>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</si>
  <si>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</si>
  <si>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</si>
  <si>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</si>
  <si>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</si>
  <si>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</si>
  <si>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</si>
  <si>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</si>
  <si>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</si>
  <si>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</si>
  <si>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</si>
  <si>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</si>
  <si>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</si>
  <si>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</si>
  <si>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</si>
  <si>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</si>
  <si>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</si>
  <si>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</si>
  <si>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</si>
  <si>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</si>
  <si>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</si>
  <si>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</si>
  <si>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</si>
  <si>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</si>
  <si>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</si>
  <si>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</si>
  <si>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</si>
  <si>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</si>
  <si>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</si>
  <si>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</si>
  <si>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</si>
  <si>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</si>
  <si>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</si>
  <si>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</si>
  <si>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</si>
  <si>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</si>
  <si>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</si>
  <si>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</si>
  <si>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</si>
  <si>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</si>
  <si>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</si>
  <si>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</si>
  <si>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</si>
  <si>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</si>
  <si>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</si>
  <si>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</si>
  <si>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</si>
  <si>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</si>
  <si>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</si>
  <si>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</si>
  <si>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</si>
  <si>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</si>
  <si>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</si>
  <si>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</si>
  <si>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</si>
  <si>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</si>
  <si>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</si>
  <si>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</si>
  <si>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</si>
  <si>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</si>
  <si>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</si>
  <si>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</si>
  <si>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</si>
  <si>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</si>
  <si>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</si>
  <si>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</si>
  <si>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</si>
  <si>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</si>
  <si>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</si>
  <si>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</si>
  <si>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</si>
  <si>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</si>
  <si>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</si>
  <si>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</si>
  <si>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</si>
  <si>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</si>
  <si>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</si>
  <si>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</si>
  <si>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</si>
  <si>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</si>
  <si>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</si>
  <si>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</si>
  <si>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</si>
  <si>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</si>
  <si>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</si>
  <si>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</si>
  <si>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</si>
  <si>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</si>
  <si>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</si>
  <si>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</si>
  <si>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</si>
  <si>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</si>
  <si>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</si>
  <si>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</si>
  <si>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</si>
  <si>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</si>
  <si>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</si>
  <si>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</si>
  <si>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</si>
  <si>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</si>
  <si>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</si>
  <si>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</si>
  <si>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</si>
  <si>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</si>
  <si>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</si>
  <si>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</si>
  <si>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</si>
  <si>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</si>
  <si>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</si>
  <si>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</si>
  <si>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</si>
  <si>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</si>
  <si>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</si>
  <si>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</si>
  <si>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</si>
  <si>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</si>
  <si>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</si>
  <si>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</si>
  <si>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</si>
  <si>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</si>
  <si>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</si>
  <si>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</si>
  <si>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</si>
  <si>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</si>
  <si>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</si>
  <si>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</si>
  <si>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</si>
  <si>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</si>
  <si>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</si>
  <si>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</si>
  <si>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</si>
  <si>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</si>
  <si>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</si>
  <si>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</si>
  <si>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</si>
  <si>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</si>
  <si>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</si>
  <si>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</si>
  <si>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</si>
  <si>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</si>
  <si>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</si>
  <si>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</si>
  <si>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</si>
  <si>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</si>
  <si>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</si>
  <si>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</si>
  <si>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</si>
  <si>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</si>
  <si>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</si>
  <si>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</si>
  <si>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</si>
  <si>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</si>
  <si>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</si>
  <si>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</si>
  <si>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</si>
  <si>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</si>
  <si>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</si>
  <si>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</si>
  <si>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</si>
  <si>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</si>
  <si>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</si>
  <si>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</si>
  <si>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</si>
  <si>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</si>
  <si>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</si>
  <si>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</si>
  <si>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</si>
  <si>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</si>
  <si>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</si>
  <si>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</si>
  <si>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</si>
  <si>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</si>
  <si>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</si>
  <si>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</si>
  <si>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</si>
  <si>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</si>
  <si>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</si>
  <si>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</si>
  <si>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</si>
  <si>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</si>
  <si>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</si>
  <si>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</si>
  <si>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</si>
  <si>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</si>
  <si>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</si>
  <si>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</si>
  <si>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</si>
  <si>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</si>
  <si>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</si>
  <si>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</si>
  <si>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</si>
  <si>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</si>
  <si>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</si>
  <si>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</si>
  <si>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</si>
  <si>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</si>
  <si>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</si>
  <si>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</si>
  <si>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</si>
  <si>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</si>
  <si>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</si>
  <si>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</si>
  <si>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</si>
  <si>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</si>
  <si>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</si>
  <si>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</si>
  <si>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</si>
  <si>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</si>
  <si>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</si>
  <si>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</si>
  <si>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</si>
  <si>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</si>
  <si>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</si>
  <si>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</si>
  <si>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</si>
  <si>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</si>
  <si>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</si>
  <si>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</si>
  <si>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</si>
  <si>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</si>
  <si>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</si>
  <si>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</si>
  <si>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</si>
  <si>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</si>
  <si>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</si>
  <si>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</si>
  <si>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</si>
  <si>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</si>
  <si>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</si>
  <si>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</si>
  <si>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</si>
  <si>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</si>
  <si>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</si>
  <si>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</si>
  <si>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</si>
  <si>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</si>
  <si>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</si>
  <si>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</si>
  <si>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</si>
  <si>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</si>
  <si>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</si>
  <si>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</si>
  <si>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</si>
  <si>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</si>
  <si>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</si>
  <si>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</si>
  <si>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</si>
  <si>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</si>
  <si>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</si>
  <si>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</si>
  <si>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</si>
  <si>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</si>
  <si>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</si>
  <si>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</si>
  <si>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</si>
  <si>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</si>
  <si>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</si>
  <si>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</si>
  <si>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</si>
  <si>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</si>
  <si>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</si>
  <si>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</si>
  <si>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</si>
  <si>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</si>
  <si>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</si>
  <si>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</si>
  <si>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</si>
  <si>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</si>
  <si>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</si>
  <si>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</si>
  <si>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</si>
  <si>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</si>
  <si>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</si>
  <si>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</si>
  <si>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</si>
  <si>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</si>
  <si>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</si>
  <si>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</si>
  <si>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</si>
  <si>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</si>
  <si>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</si>
  <si>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</si>
  <si>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</si>
  <si>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</si>
  <si>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</si>
  <si>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</si>
  <si>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</si>
  <si>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</si>
  <si>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</si>
  <si>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</si>
  <si>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</si>
  <si>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</si>
  <si>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</si>
  <si>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</si>
  <si>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</si>
  <si>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</si>
  <si>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</si>
  <si>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</si>
  <si>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</si>
  <si>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</si>
  <si>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</si>
  <si>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</si>
  <si>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</si>
  <si>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</si>
  <si>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</si>
  <si>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</si>
  <si>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</si>
  <si>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</si>
  <si>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</si>
  <si>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</si>
  <si>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</si>
  <si>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</si>
  <si>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</si>
  <si>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</si>
  <si>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</si>
  <si>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</si>
  <si>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</si>
  <si>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</si>
  <si>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</si>
  <si>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</si>
  <si>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</si>
  <si>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</si>
  <si>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</si>
  <si>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</si>
  <si>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</si>
  <si>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</si>
  <si>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</si>
  <si>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</si>
  <si>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</si>
  <si>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</si>
  <si>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</si>
  <si>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</si>
  <si>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</si>
  <si>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</si>
  <si>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</si>
  <si>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beer left in fermenter when kegging or bottling.</t>
  </si>
  <si>
    <t>Amount of wort left in kettle after racking to fermenter.</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</si>
  <si>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</si>
  <si>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</si>
  <si>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</si>
  <si>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</si>
  <si>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</si>
  <si>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</si>
  <si>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</si>
  <si>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</si>
  <si>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</si>
  <si>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</si>
  <si>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</si>
  <si>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</si>
  <si>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</si>
  <si>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</si>
  <si>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</si>
  <si>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</si>
  <si>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</si>
  <si>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</si>
  <si>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</si>
  <si>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</si>
  <si>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</si>
  <si>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</si>
  <si>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</si>
  <si>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Caramel/Crystal Malt, 10°L</t>
  </si>
  <si>
    <t>Caramel/Crystal Malt, 120°L</t>
  </si>
  <si>
    <t>Caramel/Crystal Malt, 20°L</t>
  </si>
  <si>
    <t>Caramel/Crystal Malt, 30°L</t>
  </si>
  <si>
    <t>Caramel/Crystal Malt, 40°L</t>
  </si>
  <si>
    <t>Caramel/Crystal Malt, 55°-60°L</t>
  </si>
  <si>
    <t>Caramel/Crystal Malt, 60°L</t>
  </si>
  <si>
    <t>Caramel/Crystal Malt, 80°L</t>
  </si>
  <si>
    <t>Caramel/Crystal Malt, 90°L</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</si>
  <si>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</si>
  <si>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</si>
  <si>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</si>
  <si>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</si>
  <si>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</si>
  <si>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</si>
  <si>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</si>
  <si>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</si>
  <si>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</si>
  <si>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</si>
  <si>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</si>
  <si>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</si>
  <si>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</si>
  <si>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</si>
  <si>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</si>
  <si>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</si>
  <si>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</si>
  <si>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</si>
  <si>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</si>
  <si>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</si>
  <si>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</si>
  <si>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</si>
  <si>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</si>
  <si>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</si>
  <si>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</si>
  <si>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</si>
  <si>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</si>
  <si>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</si>
  <si>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</si>
  <si>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</si>
  <si>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</si>
  <si>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</si>
  <si>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</si>
  <si>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</si>
  <si>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</si>
  <si>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</si>
  <si>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</si>
  <si>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</si>
  <si>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</si>
  <si>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Be sure to use hydrometer fields for calculations. Refractometer fields are currently for reference only.</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</si>
  <si>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</si>
  <si>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</si>
  <si>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Brewing Recipe Calculator Template Update: Overview, Deep Dive, &amp; Walkthrough Example</t>
  </si>
  <si>
    <t>2.0.1 - Fixed issue with first row of Grain List (acidulated malt) causing #NA errors.  Added empty first row as workaround.</t>
  </si>
  <si>
    <t>Acidulated (Sauer) Malt</t>
  </si>
  <si>
    <t>2.0.2 - Changed website information</t>
  </si>
  <si>
    <t>BEST Red X® has been invented for brewing red-tinted beers. You can use BEST Red X® for up to 100% of your grain bill - no other malt is required. Offering exceptional reliability and optimal processability, BEST Red X® can be employed to brew consistently fiery beers with intense reddish hues. Its full-bodied flavor and attractive, unique color coupled with easy handling in the brewery, make BEST Red X® the best choice for creating a broad range of new beers, such as red-tinted wheat beers.</t>
  </si>
  <si>
    <t>15°</t>
  </si>
  <si>
    <t>Red X (Best Mälz)</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</si>
  <si>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</si>
  <si>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</si>
  <si>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</si>
  <si>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</si>
  <si>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</si>
  <si>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</si>
  <si>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</si>
  <si>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</si>
  <si>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</si>
  <si>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</si>
  <si>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</si>
  <si>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</si>
  <si>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</si>
  <si>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</si>
  <si>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</si>
  <si>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</si>
  <si>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</si>
  <si>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</si>
  <si>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</si>
  <si>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</si>
  <si>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</si>
  <si>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</si>
  <si>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</si>
  <si>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</si>
  <si>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</si>
  <si>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</si>
  <si>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</si>
  <si>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</si>
  <si>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</si>
  <si>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</si>
  <si>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</si>
  <si>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</si>
  <si>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</si>
  <si>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</si>
  <si>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</si>
  <si>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</si>
  <si>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</si>
  <si>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</si>
  <si>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</si>
  <si>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</si>
  <si>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</si>
  <si>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</si>
  <si>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</si>
  <si>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</si>
  <si>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</si>
  <si>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</si>
  <si>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</si>
  <si>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</si>
  <si>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</si>
  <si>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</si>
  <si>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</si>
  <si>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</si>
  <si>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</si>
  <si>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</si>
  <si>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</si>
  <si>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</si>
  <si>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</si>
  <si>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</si>
  <si>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</si>
  <si>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</si>
  <si>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</si>
  <si>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</si>
  <si>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</si>
  <si>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</si>
  <si>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</si>
  <si>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</si>
  <si>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</si>
  <si>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</si>
  <si>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</si>
  <si>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</si>
  <si>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</si>
  <si>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</si>
  <si>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</si>
  <si>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</si>
  <si>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</si>
  <si>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</si>
  <si>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</si>
  <si>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</si>
  <si>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</si>
  <si>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</si>
  <si>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</si>
  <si>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</si>
  <si>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</si>
  <si>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</si>
  <si>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</si>
  <si>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</si>
  <si>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</si>
  <si>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</si>
  <si>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</si>
  <si>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</si>
  <si>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</si>
  <si>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</si>
  <si>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</si>
  <si>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</si>
  <si>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</si>
  <si>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</si>
  <si>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</si>
  <si>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</si>
  <si>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</si>
  <si>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</si>
  <si>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</si>
  <si>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</si>
  <si>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</si>
  <si>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</si>
  <si>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</si>
  <si>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</si>
  <si>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</si>
  <si>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</si>
  <si>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</si>
  <si>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</si>
  <si>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</si>
  <si>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</si>
  <si>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</si>
  <si>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</si>
  <si>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</si>
  <si>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</si>
  <si>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Rice Hulls</t>
  </si>
  <si>
    <t>Yeast Starter</t>
  </si>
  <si>
    <t>Wort Correction Factor</t>
  </si>
  <si>
    <t>For use with a refractometer. (Ignore if not using one)</t>
  </si>
  <si>
    <t>750 mL</t>
  </si>
  <si>
    <t>mash</t>
  </si>
  <si>
    <t>1 lb</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</si>
  <si>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</si>
  <si>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</si>
  <si>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</si>
  <si>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</si>
  <si>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</si>
  <si>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Yeast Nutrient</t>
  </si>
  <si>
    <t>1 tsp</t>
  </si>
  <si>
    <t>boil</t>
  </si>
  <si>
    <t>NOTES:</t>
  </si>
  <si>
    <t>Brewing Recipe Template Playlist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</si>
</sst>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E+00"/>
    <numFmt numFmtId="166" formatCode="0.0"/>
    <numFmt numFmtId="167" formatCode="0.0%"/>
    <numFmt numFmtId="168" formatCode="[$-409]mmmm\ d\,\ yyyy;@"/>
    <numFmt numFmtId="169" formatCode="0.00000000000000"/>
  </numFmts>
  <fonts count="11" x14ac:knownFonts="1">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30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3" borderId="1" xfId="0" applyNumberFormat="1"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0" fontId="0" fillId="0" borderId="0" xfId="0" applyAlignment="1">
      <alignment horizontal="center"/>
    </xf>
    <xf numFmtId="167" fontId="0" fillId="0" borderId="0" xfId="1" applyNumberFormat="1" applyFont="1"/>
    <xf numFmtId="2" fontId="0" fillId="7" borderId="1" xfId="0" applyNumberFormat="1" applyFill="1" applyBorder="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Alignment="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0" fontId="2" fillId="0" borderId="7" xfId="0" applyFont="1" applyBorder="1" applyAlignment="1" applyProtection="1">
      <alignment vertical="top" wrapText="1"/>
      <protection locked="0"/>
    </xf>
    <xf numFmtId="166" fontId="0" fillId="7" borderId="10" xfId="0" applyNumberFormat="1" applyFill="1" applyBorder="1" applyAlignment="1">
      <alignment horizontal="center"/>
    </xf>
    <xf numFmtId="166" fontId="0" fillId="7" borderId="1" xfId="1" applyNumberFormat="1" applyFon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0" fontId="0" fillId="0" borderId="26" xfId="0" applyBorder="1"/>
    <xf numFmtId="169" fontId="2" fillId="0" borderId="0" xfId="0" applyNumberFormat="1" applyFont="1"/>
    <xf numFmtId="0" fontId="8" fillId="0" borderId="0" xfId="2" applyAlignment="1" applyProtection="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0" fillId="0" borderId="6" xfId="0" applyBorder="1" applyAlignment="1">
      <alignment horizontal="center"/>
    </xf>
    <xf numFmtId="0" fontId="0" fillId="0" borderId="4" xfId="0"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6" borderId="6"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1" fillId="0" borderId="12" xfId="0" applyFont="1" applyBorder="1" applyAlignment="1">
      <alignment horizontal="center"/>
    </xf>
    <xf numFmtId="0" fontId="1" fillId="0" borderId="7" xfId="0" applyFont="1" applyBorder="1" applyAlignment="1">
      <alignment horizontal="center"/>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0" fontId="1" fillId="0" borderId="14" xfId="0" applyFont="1" applyBorder="1" applyAlignment="1">
      <alignment horizontal="center"/>
    </xf>
    <xf numFmtId="0" fontId="1" fillId="0" borderId="5" xfId="0" applyFont="1" applyBorder="1" applyAlignment="1">
      <alignment horizontal="center"/>
    </xf>
    <xf numFmtId="0" fontId="2" fillId="6" borderId="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0" fontId="1" fillId="0" borderId="6" xfId="0" applyFont="1" applyBorder="1" applyAlignment="1">
      <alignment horizontal="center"/>
    </xf>
    <xf numFmtId="0" fontId="1" fillId="0" borderId="4"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xf>
    <xf numFmtId="0" fontId="1" fillId="0" borderId="9" xfId="0" applyFont="1" applyBorder="1" applyAlignment="1">
      <alignment horizontal="center" vertical="center" wrapText="1"/>
    </xf>
    <xf numFmtId="0" fontId="0" fillId="0" borderId="16" xfId="0" applyFill="1" applyBorder="1" applyAlignment="1">
      <alignment horizontal="center"/>
    </xf>
    <xf numFmtId="0" fontId="0" fillId="0" borderId="17" xfId="0" applyFill="1" applyBorder="1" applyAlignment="1">
      <alignment horizontal="center"/>
    </xf>
    <xf numFmtId="0" fontId="1" fillId="0" borderId="1" xfId="0" applyFont="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0" fillId="7" borderId="1" xfId="0" applyFill="1" applyBorder="1" applyAlignment="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168" fontId="0" fillId="6" borderId="0" xfId="0" applyNumberFormat="1" applyFill="1" applyBorder="1" applyAlignment="1" applyProtection="1">
      <alignment horizontal="center"/>
      <protection locked="0"/>
    </xf>
    <xf numFmtId="0" fontId="1" fillId="0" borderId="10"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0" fontId="0" fillId="7" borderId="6"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1" fillId="0" borderId="8" xfId="0" applyFont="1" applyBorder="1" applyAlignment="1">
      <alignment horizontal="center"/>
    </xf>
    <xf numFmtId="0" fontId="2" fillId="0" borderId="0" xfId="0" applyFont="1" applyAlignment="1">
      <alignment horizontal="center" vertical="top" wrapText="1"/>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6" xfId="0" applyFont="1" applyBorder="1" applyAlignment="1">
      <alignment horizontal="center"/>
    </xf>
    <xf numFmtId="0" fontId="2" fillId="0" borderId="4" xfId="0" applyFont="1" applyBorder="1" applyAlignment="1">
      <alignment horizontal="center"/>
    </xf>
    <xf numFmtId="0" fontId="2" fillId="0" borderId="1" xfId="0" applyFont="1" applyFill="1" applyBorder="1" applyAlignment="1">
      <alignment horizontal="left"/>
    </xf>
    <xf numFmtId="0" fontId="2" fillId="0" borderId="24" xfId="0" applyFont="1" applyFill="1" applyBorder="1" applyAlignment="1">
      <alignment horizontal="left"/>
    </xf>
    <xf numFmtId="0" fontId="1" fillId="0" borderId="22" xfId="0" applyFont="1" applyBorder="1" applyAlignment="1">
      <alignment horizont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2" fillId="0" borderId="1" xfId="0" applyFont="1" applyBorder="1" applyAlignment="1">
      <alignment horizontal="left"/>
    </xf>
    <xf numFmtId="0" fontId="2" fillId="0" borderId="24" xfId="0" applyFont="1" applyBorder="1" applyAlignment="1">
      <alignment horizontal="left"/>
    </xf>
    <xf numFmtId="0" fontId="0" fillId="0" borderId="1" xfId="0" applyBorder="1" applyAlignment="1">
      <alignment horizontal="left"/>
    </xf>
    <xf numFmtId="0" fontId="0" fillId="0" borderId="24" xfId="0" applyBorder="1" applyAlignment="1">
      <alignment horizontal="left"/>
    </xf>
    <xf numFmtId="0" fontId="2" fillId="0" borderId="32" xfId="0" applyFont="1" applyFill="1" applyBorder="1" applyAlignment="1">
      <alignment horizontal="left"/>
    </xf>
    <xf numFmtId="0" fontId="2" fillId="0" borderId="33" xfId="0" applyFont="1" applyFill="1" applyBorder="1" applyAlignment="1">
      <alignment horizontal="lef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2" fillId="0" borderId="1" xfId="0" applyFont="1" applyBorder="1" applyAlignment="1"/>
    <xf numFmtId="0" fontId="2" fillId="0" borderId="24" xfId="0" applyFont="1" applyBorder="1" applyAlignment="1"/>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2" fillId="0" borderId="35" xfId="0" applyFont="1" applyFill="1" applyBorder="1" applyAlignment="1">
      <alignment horizontal="left"/>
    </xf>
    <xf numFmtId="0" fontId="2" fillId="0" borderId="36" xfId="0" applyFont="1" applyFill="1" applyBorder="1" applyAlignment="1">
      <alignment horizontal="left"/>
    </xf>
    <xf numFmtId="0" fontId="0" fillId="0" borderId="15" xfId="0" applyBorder="1" applyAlignment="1">
      <alignment horizontal="center"/>
    </xf>
    <xf numFmtId="0" fontId="8" fillId="0" borderId="0" xfId="2" applyAlignment="1" applyProtection="1">
      <alignment horizontal="center"/>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2" fillId="0" borderId="1"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4">
    <cellStyle name="Hyperlink" xfId="2" builtinId="8"/>
    <cellStyle name="Normal" xfId="0" builtinId="0"/>
    <cellStyle name="Normal 2" xfId="3"/>
    <cellStyle name="Percent" xfId="1" builtinId="5"/>
  </cellStyles>
  <dxfs count="11">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2" name="grains_table" displayName="grains_table" ref="A1:C108" totalsRowShown="0">
  <autoFilter ref="A1:C108"/>
  <sortState ref="A2:C106">
    <sortCondition ref="A2:A106"/>
  </sortState>
  <tableColumns count="3">
    <tableColumn id="1" name="Ingredient"/>
    <tableColumn id="2" name="Type" dataDxfId="6"/>
    <tableColumn id="3" name="Max S.G." dataDxfId="5"/>
  </tableColumns>
  <tableStyleInfo name="TableStyleMedium9" showFirstColumn="0" showLastColumn="0" showRowStripes="1" showColumnStripes="0"/>
</table>
</file>

<file path=xl/tables/table2.xml><?xml version="1.0" encoding="utf-8"?>
<table xmlns="http://schemas.openxmlformats.org/spreadsheetml/2006/main" id="3" name="yeast_table" displayName="yeast_table" ref="A1:I215" totalsRowShown="0" headerRowDxfId="4">
  <autoFilter ref="A1:I215"/>
  <sortState ref="A2:I215">
    <sortCondition ref="A2:A215"/>
  </sortState>
  <tableColumns count="9">
    <tableColumn id="1" name="Name &amp; Number"/>
    <tableColumn id="2" name="Type"/>
    <tableColumn id="3" name="Lab"/>
    <tableColumn id="4" name="Floc."/>
    <tableColumn id="5" name="Atten."/>
    <tableColumn id="6" name="Avg Atten" dataDxfId="3" dataCellStyle="Percent"/>
    <tableColumn id="7" name="Temp. Low F" dataDxfId="2"/>
    <tableColumn id="9" name="Temp. High F" dataDxfId="1"/>
    <tableColumn id="8" name="Description"/>
  </tableColumns>
  <tableStyleInfo name="TableStyleMedium9" showFirstColumn="0" showLastColumn="0" showRowStripes="1" showColumnStripes="0"/>
</table>
</file>

<file path=xl/tables/table3.xml><?xml version="1.0" encoding="utf-8"?>
<table xmlns="http://schemas.openxmlformats.org/spreadsheetml/2006/main" id="1" name="BeerList_Table" displayName="BeerList_Table" ref="B1:AI14" totalsRowShown="0" headerRowDxfId="0">
  <autoFilter ref="B1:AI14"/>
  <tableColumns count="34">
    <tableColumn id="1" name="1. Standard American Beer"/>
    <tableColumn id="2" name="2. International Lager"/>
    <tableColumn id="3" name="3. Czech Lager"/>
    <tableColumn id="4" name="4. Pale Malty European Lager"/>
    <tableColumn id="5" name="5. Pale Bitter European Beer"/>
    <tableColumn id="6" name="6. Amber Malty European Lager"/>
    <tableColumn id="7" name="7. Amber Bitter European Beer"/>
    <tableColumn id="8" name="8. Dark European Lager"/>
    <tableColumn id="11" name="9. Strong European Beer"/>
    <tableColumn id="12" name="10. German Wheat Beer"/>
    <tableColumn id="13" name="11. British Bitter"/>
    <tableColumn id="14" name="12. Pale Commonwealth Beer"/>
    <tableColumn id="17" name="13. Brown British Beer"/>
    <tableColumn id="18" name="14. Scottish Ale"/>
    <tableColumn id="15" name="15. Irish Beer"/>
    <tableColumn id="16" name="16. Dark British Beer"/>
    <tableColumn id="23" name="17. Strong British Ale"/>
    <tableColumn id="24" name="18. Pale American Ale"/>
    <tableColumn id="21" name="19. Amber and Brown American Beer"/>
    <tableColumn id="22" name="20. American Porter and Stout"/>
    <tableColumn id="19" name="21. IPA"/>
    <tableColumn id="20" name="22. Strong American Ale"/>
    <tableColumn id="27" name="23. European Sour Ale"/>
    <tableColumn id="28" name="24. Belgian Ale"/>
    <tableColumn id="25" name="25. Strong Belgian Ale"/>
    <tableColumn id="26" name="26. Trappist Ale"/>
    <tableColumn id="30" name="27. Historical Beer"/>
    <tableColumn id="32" name="28. American Wild Ale"/>
    <tableColumn id="33" name="29. Fruit Beer"/>
    <tableColumn id="31" name="30. Spiced Beer"/>
    <tableColumn id="29" name="31. Alternative Fermentables Beer"/>
    <tableColumn id="35" name="32. Smoked Beer"/>
    <tableColumn id="34" name="33. Wood Beer"/>
    <tableColumn id="9"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tabSelected="1" zoomScaleNormal="100" workbookViewId="0">
      <selection activeCell="B4" sqref="B4"/>
    </sheetView>
  </sheetViews>
  <sheetFormatPr defaultRowHeight="13.2" x14ac:dyDescent="0.25"/>
  <cols>
    <col min="1" max="1" width="9.109375" bestFit="1" customWidth="1"/>
    <col min="2" max="2" width="106.6640625" bestFit="1" customWidth="1"/>
  </cols>
  <sheetData>
    <row r="2" spans="2:2" x14ac:dyDescent="0.25">
      <c r="B2" s="59" t="s">
        <v>1529</v>
      </c>
    </row>
    <row r="3" spans="2:2" x14ac:dyDescent="0.25">
      <c r="B3" s="24" t="s">
        <v>1519</v>
      </c>
    </row>
    <row r="4" spans="2:2" x14ac:dyDescent="0.25">
      <c r="B4" s="187" t="s">
        <v>1686</v>
      </c>
    </row>
    <row r="5" spans="2:2" x14ac:dyDescent="0.25">
      <c r="B5" s="24" t="s">
        <v>1520</v>
      </c>
    </row>
    <row r="6" spans="2:2" x14ac:dyDescent="0.25">
      <c r="B6" s="24" t="s">
        <v>1521</v>
      </c>
    </row>
    <row r="7" spans="2:2" x14ac:dyDescent="0.25">
      <c r="B7" s="24" t="s">
        <v>1522</v>
      </c>
    </row>
    <row r="8" spans="2:2" x14ac:dyDescent="0.25">
      <c r="B8" s="24" t="s">
        <v>1523</v>
      </c>
    </row>
    <row r="9" spans="2:2" x14ac:dyDescent="0.25">
      <c r="B9" s="24" t="s">
        <v>1524</v>
      </c>
    </row>
    <row r="10" spans="2:2" x14ac:dyDescent="0.25">
      <c r="B10" s="24" t="s">
        <v>1525</v>
      </c>
    </row>
    <row r="11" spans="2:2" x14ac:dyDescent="0.25">
      <c r="B11" s="24" t="s">
        <v>1526</v>
      </c>
    </row>
    <row r="12" spans="2:2" x14ac:dyDescent="0.25">
      <c r="B12" s="24" t="s">
        <v>1530</v>
      </c>
    </row>
    <row r="13" spans="2:2" x14ac:dyDescent="0.25">
      <c r="B13" s="106" t="s">
        <v>165</v>
      </c>
    </row>
    <row r="16" spans="2:2" x14ac:dyDescent="0.25">
      <c r="B16" s="59" t="s">
        <v>1527</v>
      </c>
    </row>
    <row r="17" spans="1:2" x14ac:dyDescent="0.25">
      <c r="B17" s="24" t="s">
        <v>1528</v>
      </c>
    </row>
    <row r="18" spans="1:2" ht="66" x14ac:dyDescent="0.25">
      <c r="A18" s="105">
        <v>42838</v>
      </c>
      <c r="B18" s="104" t="s">
        <v>1546</v>
      </c>
    </row>
    <row r="19" spans="1:2" x14ac:dyDescent="0.25">
      <c r="A19" s="141">
        <v>42840</v>
      </c>
      <c r="B19" s="24" t="s">
        <v>1548</v>
      </c>
    </row>
    <row r="20" spans="1:2" x14ac:dyDescent="0.25">
      <c r="A20" s="141">
        <v>42845</v>
      </c>
      <c r="B20" s="24" t="s">
        <v>1550</v>
      </c>
    </row>
    <row r="21" spans="1:2" x14ac:dyDescent="0.25">
      <c r="A21" s="141">
        <v>42850</v>
      </c>
      <c r="B21" s="24" t="s">
        <v>1627</v>
      </c>
    </row>
    <row r="22" spans="1:2" x14ac:dyDescent="0.25">
      <c r="A22" s="141">
        <v>42854</v>
      </c>
      <c r="B22" s="24" t="s">
        <v>1638</v>
      </c>
    </row>
    <row r="23" spans="1:2" ht="52.8" x14ac:dyDescent="0.25">
      <c r="A23" s="145">
        <v>42931</v>
      </c>
      <c r="B23" s="104" t="s">
        <v>1681</v>
      </c>
    </row>
    <row r="24" spans="1:2" x14ac:dyDescent="0.25">
      <c r="B24" s="104"/>
    </row>
  </sheetData>
  <sheetProtection sheet="1" objects="1" scenarios="1"/>
  <hyperlinks>
    <hyperlink ref="B13" r:id="rId1"/>
    <hyperlink ref="B4"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E4" sqref="E4"/>
    </sheetView>
  </sheetViews>
  <sheetFormatPr defaultRowHeight="13.2" x14ac:dyDescent="0.25"/>
  <cols>
    <col min="1" max="1" width="21.109375" customWidth="1"/>
    <col min="2" max="2" width="6.6640625" customWidth="1"/>
    <col min="3" max="3" width="13.5546875" customWidth="1"/>
    <col min="4" max="4" width="2.88671875" customWidth="1"/>
    <col min="5" max="5" width="4.33203125" customWidth="1"/>
    <col min="6" max="7" width="5.88671875" customWidth="1"/>
    <col min="8" max="8" width="7.44140625" customWidth="1"/>
    <col min="9" max="9" width="2.6640625" customWidth="1"/>
    <col min="10" max="10" width="21" customWidth="1"/>
    <col min="12" max="12" width="8.5546875" customWidth="1"/>
    <col min="13" max="13" width="4" customWidth="1"/>
    <col min="14" max="14" width="6" customWidth="1"/>
    <col min="15" max="15" width="7.5546875" customWidth="1"/>
    <col min="16" max="16" width="2.6640625" customWidth="1"/>
    <col min="17" max="17" width="19.88671875" customWidth="1"/>
  </cols>
  <sheetData>
    <row r="1" spans="1:12" ht="15.6" x14ac:dyDescent="0.25">
      <c r="A1" s="286" t="s">
        <v>67</v>
      </c>
      <c r="B1" s="286"/>
      <c r="C1" s="286"/>
      <c r="E1" s="286" t="s">
        <v>39</v>
      </c>
      <c r="F1" s="286"/>
      <c r="G1" s="286"/>
      <c r="H1" s="286"/>
      <c r="J1" s="286" t="s">
        <v>30</v>
      </c>
      <c r="K1" s="286"/>
      <c r="L1" s="286"/>
    </row>
    <row r="2" spans="1:12" ht="15.6" x14ac:dyDescent="0.35">
      <c r="A2" s="5" t="s">
        <v>40</v>
      </c>
      <c r="B2" s="102">
        <v>0.88</v>
      </c>
      <c r="C2" s="2" t="s">
        <v>16</v>
      </c>
      <c r="E2" s="286" t="s">
        <v>21</v>
      </c>
      <c r="F2" s="286"/>
      <c r="G2" s="296" t="s">
        <v>48</v>
      </c>
      <c r="H2" s="295" t="s">
        <v>68</v>
      </c>
      <c r="J2" s="286" t="s">
        <v>23</v>
      </c>
      <c r="K2" s="292" t="s">
        <v>47</v>
      </c>
      <c r="L2" s="295" t="s">
        <v>37</v>
      </c>
    </row>
    <row r="3" spans="1:12" ht="15.6" x14ac:dyDescent="0.35">
      <c r="A3" s="5" t="s">
        <v>38</v>
      </c>
      <c r="B3" s="102">
        <v>2.4500000000000002</v>
      </c>
      <c r="C3" s="2" t="s">
        <v>16</v>
      </c>
      <c r="E3" s="2" t="s">
        <v>20</v>
      </c>
      <c r="F3" s="2" t="s">
        <v>22</v>
      </c>
      <c r="G3" s="297"/>
      <c r="H3" s="295"/>
      <c r="J3" s="286"/>
      <c r="K3" s="294"/>
      <c r="L3" s="295"/>
    </row>
    <row r="4" spans="1:12" ht="15.6" x14ac:dyDescent="0.35">
      <c r="A4" s="292" t="s">
        <v>59</v>
      </c>
      <c r="B4" s="6">
        <f>(B3-B2)*'Common Variables'!A14/(2*('Common Variables'!B6*'Common Variables'!B7/'Common Variables'!B8))</f>
        <v>5.8790659279309505</v>
      </c>
      <c r="C4" s="2" t="s">
        <v>17</v>
      </c>
      <c r="E4" s="2">
        <v>0</v>
      </c>
      <c r="F4" s="8">
        <f t="shared" ref="F4:F15" si="0">E4*9/5+32</f>
        <v>32</v>
      </c>
      <c r="G4" s="7">
        <v>3.34</v>
      </c>
      <c r="H4" s="7">
        <v>1.7</v>
      </c>
      <c r="J4" s="1" t="s">
        <v>24</v>
      </c>
      <c r="K4" s="2" t="s">
        <v>49</v>
      </c>
      <c r="L4" s="18" t="s">
        <v>73</v>
      </c>
    </row>
    <row r="5" spans="1:12" x14ac:dyDescent="0.25">
      <c r="A5" s="293"/>
      <c r="B5" s="6">
        <f>B4*0.0352739658378695*3.785411784</f>
        <v>0.78501101403137241</v>
      </c>
      <c r="C5" s="2" t="s">
        <v>18</v>
      </c>
      <c r="E5" s="2">
        <v>2</v>
      </c>
      <c r="F5" s="8">
        <f t="shared" si="0"/>
        <v>35.6</v>
      </c>
      <c r="G5" s="7">
        <v>3.14</v>
      </c>
      <c r="H5" s="7">
        <v>1.6</v>
      </c>
      <c r="J5" s="1" t="s">
        <v>33</v>
      </c>
      <c r="K5" s="2" t="s">
        <v>29</v>
      </c>
      <c r="L5" s="2" t="s">
        <v>25</v>
      </c>
    </row>
    <row r="6" spans="1:12" x14ac:dyDescent="0.25">
      <c r="A6" s="293"/>
      <c r="B6" s="6">
        <f>B5*5</f>
        <v>3.9250550701568621</v>
      </c>
      <c r="C6" s="2" t="s">
        <v>19</v>
      </c>
      <c r="E6" s="2">
        <v>4</v>
      </c>
      <c r="F6" s="8">
        <f t="shared" si="0"/>
        <v>39.200000000000003</v>
      </c>
      <c r="G6" s="7">
        <v>2.95</v>
      </c>
      <c r="H6" s="7">
        <v>1.5</v>
      </c>
      <c r="J6" s="1" t="s">
        <v>32</v>
      </c>
      <c r="K6" s="2" t="s">
        <v>50</v>
      </c>
      <c r="L6" s="2" t="s">
        <v>26</v>
      </c>
    </row>
    <row r="7" spans="1:12" ht="18.75" customHeight="1" x14ac:dyDescent="0.35">
      <c r="A7" s="292" t="s">
        <v>60</v>
      </c>
      <c r="B7" s="6">
        <f>B4*1.15</f>
        <v>6.7609258171205928</v>
      </c>
      <c r="C7" s="2" t="s">
        <v>17</v>
      </c>
      <c r="E7" s="2">
        <v>6</v>
      </c>
      <c r="F7" s="8">
        <f t="shared" si="0"/>
        <v>42.8</v>
      </c>
      <c r="G7" s="7">
        <v>2.75</v>
      </c>
      <c r="H7" s="7">
        <v>1.4</v>
      </c>
      <c r="J7" s="1" t="s">
        <v>31</v>
      </c>
      <c r="K7" s="2" t="s">
        <v>51</v>
      </c>
      <c r="L7" s="18" t="s">
        <v>77</v>
      </c>
    </row>
    <row r="8" spans="1:12" x14ac:dyDescent="0.25">
      <c r="A8" s="293"/>
      <c r="B8" s="6">
        <f>B7*0.0352739658378695*3.785411784</f>
        <v>0.90276266613607825</v>
      </c>
      <c r="C8" s="2" t="s">
        <v>18</v>
      </c>
      <c r="E8" s="2">
        <v>8</v>
      </c>
      <c r="F8" s="8">
        <f t="shared" si="0"/>
        <v>46.4</v>
      </c>
      <c r="G8" s="7">
        <v>2.5499999999999998</v>
      </c>
      <c r="H8" s="7">
        <v>1.3</v>
      </c>
      <c r="J8" s="17" t="s">
        <v>71</v>
      </c>
      <c r="K8" s="2" t="s">
        <v>52</v>
      </c>
      <c r="L8" s="18" t="s">
        <v>75</v>
      </c>
    </row>
    <row r="9" spans="1:12" x14ac:dyDescent="0.25">
      <c r="A9" s="294"/>
      <c r="B9" s="6">
        <f>B8*5</f>
        <v>4.5138133306803914</v>
      </c>
      <c r="C9" s="2" t="s">
        <v>19</v>
      </c>
      <c r="E9" s="2">
        <v>10</v>
      </c>
      <c r="F9" s="8">
        <f t="shared" si="0"/>
        <v>50</v>
      </c>
      <c r="G9" s="7">
        <v>2.36</v>
      </c>
      <c r="H9" s="7">
        <v>1.2</v>
      </c>
      <c r="J9" s="17" t="s">
        <v>72</v>
      </c>
      <c r="K9" s="16"/>
      <c r="L9" s="18" t="s">
        <v>76</v>
      </c>
    </row>
    <row r="10" spans="1:12" ht="15" customHeight="1" x14ac:dyDescent="0.35">
      <c r="A10" s="288" t="s">
        <v>65</v>
      </c>
      <c r="B10" s="6">
        <f>B4*1.3</f>
        <v>7.642785706310236</v>
      </c>
      <c r="C10" s="2" t="s">
        <v>17</v>
      </c>
      <c r="E10" s="2">
        <v>12</v>
      </c>
      <c r="F10" s="8">
        <f t="shared" si="0"/>
        <v>53.6</v>
      </c>
      <c r="G10" s="7">
        <v>2.2000000000000002</v>
      </c>
      <c r="H10" s="7">
        <v>1.1200000000000001</v>
      </c>
      <c r="J10" s="1" t="s">
        <v>34</v>
      </c>
      <c r="K10" s="2" t="s">
        <v>52</v>
      </c>
      <c r="L10" s="2" t="s">
        <v>27</v>
      </c>
    </row>
    <row r="11" spans="1:12" x14ac:dyDescent="0.25">
      <c r="A11" s="289"/>
      <c r="B11" s="6">
        <f>B10*0.0352739658378695*3.785411784</f>
        <v>1.0205143182407841</v>
      </c>
      <c r="C11" s="2" t="s">
        <v>18</v>
      </c>
      <c r="E11" s="2">
        <v>14</v>
      </c>
      <c r="F11" s="8">
        <f t="shared" si="0"/>
        <v>57.2</v>
      </c>
      <c r="G11" s="7">
        <v>2.06</v>
      </c>
      <c r="H11" s="7">
        <v>1.05</v>
      </c>
      <c r="J11" s="1" t="s">
        <v>35</v>
      </c>
      <c r="K11" s="2" t="s">
        <v>54</v>
      </c>
      <c r="L11" s="2" t="s">
        <v>28</v>
      </c>
    </row>
    <row r="12" spans="1:12" x14ac:dyDescent="0.25">
      <c r="A12" s="290"/>
      <c r="B12" s="6">
        <f>B11*5</f>
        <v>5.1025715912039207</v>
      </c>
      <c r="C12" s="2" t="s">
        <v>19</v>
      </c>
      <c r="E12" s="2">
        <v>16</v>
      </c>
      <c r="F12" s="8">
        <f t="shared" si="0"/>
        <v>60.8</v>
      </c>
      <c r="G12" s="7">
        <v>1.94</v>
      </c>
      <c r="H12" s="7">
        <v>0.99</v>
      </c>
      <c r="J12" s="1" t="s">
        <v>36</v>
      </c>
      <c r="K12" s="2" t="s">
        <v>53</v>
      </c>
      <c r="L12" s="18" t="s">
        <v>74</v>
      </c>
    </row>
    <row r="13" spans="1:12" ht="15.6" x14ac:dyDescent="0.35">
      <c r="A13" s="291" t="s">
        <v>66</v>
      </c>
      <c r="B13" s="6">
        <f>B4*1.4</f>
        <v>8.23069229910333</v>
      </c>
      <c r="C13" s="2" t="s">
        <v>17</v>
      </c>
      <c r="E13" s="2">
        <v>18</v>
      </c>
      <c r="F13" s="8">
        <f t="shared" si="0"/>
        <v>64.400000000000006</v>
      </c>
      <c r="G13" s="7">
        <v>1.83</v>
      </c>
      <c r="H13" s="7">
        <v>0.93</v>
      </c>
      <c r="L13" s="4"/>
    </row>
    <row r="14" spans="1:12" x14ac:dyDescent="0.25">
      <c r="A14" s="291"/>
      <c r="B14" s="6">
        <f>B13*0.0352739658378695*3.785411784</f>
        <v>1.0990154196439212</v>
      </c>
      <c r="C14" s="2" t="s">
        <v>18</v>
      </c>
      <c r="E14" s="2">
        <v>20</v>
      </c>
      <c r="F14" s="8">
        <f t="shared" si="0"/>
        <v>68</v>
      </c>
      <c r="G14" s="7">
        <v>1.73</v>
      </c>
      <c r="H14" s="7">
        <v>0.88</v>
      </c>
    </row>
    <row r="15" spans="1:12" x14ac:dyDescent="0.25">
      <c r="A15" s="291"/>
      <c r="B15" s="6">
        <f>B14*5</f>
        <v>5.495077098219606</v>
      </c>
      <c r="C15" s="2" t="s">
        <v>19</v>
      </c>
      <c r="E15" s="2">
        <v>22</v>
      </c>
      <c r="F15" s="8">
        <f t="shared" si="0"/>
        <v>71.599999999999994</v>
      </c>
      <c r="G15" s="7">
        <v>1.63</v>
      </c>
      <c r="H15" s="7">
        <v>0.83</v>
      </c>
    </row>
    <row r="17" spans="1:3" ht="15.6" x14ac:dyDescent="0.25">
      <c r="A17" s="197" t="s">
        <v>64</v>
      </c>
      <c r="B17" s="287"/>
      <c r="C17" s="198"/>
    </row>
    <row r="18" spans="1:3" ht="15.6" x14ac:dyDescent="0.35">
      <c r="A18" s="5" t="s">
        <v>55</v>
      </c>
      <c r="B18" s="102">
        <v>1.73</v>
      </c>
      <c r="C18" s="2" t="s">
        <v>57</v>
      </c>
    </row>
    <row r="19" spans="1:3" ht="15.6" x14ac:dyDescent="0.35">
      <c r="A19" s="5" t="s">
        <v>56</v>
      </c>
      <c r="B19" s="102">
        <v>4.7</v>
      </c>
      <c r="C19" s="2" t="s">
        <v>57</v>
      </c>
    </row>
    <row r="20" spans="1:3" ht="15.6" x14ac:dyDescent="0.35">
      <c r="A20" s="292" t="s">
        <v>59</v>
      </c>
      <c r="B20" s="6">
        <f>(B19-B18)*2.16</f>
        <v>6.4152000000000005</v>
      </c>
      <c r="C20" s="2" t="s">
        <v>17</v>
      </c>
    </row>
    <row r="21" spans="1:3" x14ac:dyDescent="0.25">
      <c r="A21" s="293"/>
      <c r="B21" s="6">
        <f>B20*0.0352739658378695*3.785411784</f>
        <v>0.85659911267339828</v>
      </c>
      <c r="C21" s="2" t="s">
        <v>18</v>
      </c>
    </row>
    <row r="22" spans="1:3" x14ac:dyDescent="0.25">
      <c r="A22" s="294"/>
      <c r="B22" s="6">
        <f>B21*5</f>
        <v>4.2829955633669918</v>
      </c>
      <c r="C22" s="2" t="s">
        <v>19</v>
      </c>
    </row>
    <row r="23" spans="1:3" ht="15.6" x14ac:dyDescent="0.35">
      <c r="A23" s="292" t="s">
        <v>58</v>
      </c>
      <c r="B23" s="6">
        <f>B20*1.15</f>
        <v>7.3774800000000003</v>
      </c>
      <c r="C23" s="2" t="s">
        <v>17</v>
      </c>
    </row>
    <row r="24" spans="1:3" x14ac:dyDescent="0.25">
      <c r="A24" s="293"/>
      <c r="B24" s="6">
        <f>B23*0.0352739658378695*3.785411784</f>
        <v>0.98508897957440789</v>
      </c>
      <c r="C24" s="2" t="s">
        <v>18</v>
      </c>
    </row>
    <row r="25" spans="1:3" x14ac:dyDescent="0.25">
      <c r="A25" s="294"/>
      <c r="B25" s="6">
        <f>B24*5</f>
        <v>4.9254448978720395</v>
      </c>
      <c r="C25" s="2" t="s">
        <v>19</v>
      </c>
    </row>
    <row r="26" spans="1:3" ht="15.6" x14ac:dyDescent="0.35">
      <c r="A26" s="288" t="s">
        <v>65</v>
      </c>
      <c r="B26" s="6">
        <f>B20*1.3</f>
        <v>8.3397600000000001</v>
      </c>
      <c r="C26" s="2" t="s">
        <v>17</v>
      </c>
    </row>
    <row r="27" spans="1:3" x14ac:dyDescent="0.25">
      <c r="A27" s="289"/>
      <c r="B27" s="6">
        <f>B26*0.0352739658378695*3.785411784</f>
        <v>1.1135788464754177</v>
      </c>
      <c r="C27" s="2" t="s">
        <v>18</v>
      </c>
    </row>
    <row r="28" spans="1:3" x14ac:dyDescent="0.25">
      <c r="A28" s="290"/>
      <c r="B28" s="6">
        <f>B27*5</f>
        <v>5.567894232377089</v>
      </c>
      <c r="C28" s="2" t="s">
        <v>19</v>
      </c>
    </row>
    <row r="29" spans="1:3" ht="15.6" x14ac:dyDescent="0.35">
      <c r="A29" s="291" t="s">
        <v>66</v>
      </c>
      <c r="B29" s="6">
        <f>B20*1.4</f>
        <v>8.9812799999999999</v>
      </c>
      <c r="C29" s="2" t="s">
        <v>17</v>
      </c>
    </row>
    <row r="30" spans="1:3" x14ac:dyDescent="0.25">
      <c r="A30" s="291"/>
      <c r="B30" s="6">
        <f>B29*0.0352739658378695*3.785411784</f>
        <v>1.1992387577427575</v>
      </c>
      <c r="C30" s="2" t="s">
        <v>18</v>
      </c>
    </row>
    <row r="31" spans="1:3" x14ac:dyDescent="0.25">
      <c r="A31" s="291"/>
      <c r="B31" s="6">
        <f>B30*5</f>
        <v>5.9961937887137875</v>
      </c>
      <c r="C31" s="2" t="s">
        <v>19</v>
      </c>
    </row>
    <row r="33" spans="1:1" ht="15.6" x14ac:dyDescent="0.25">
      <c r="A33" s="15" t="s">
        <v>61</v>
      </c>
    </row>
    <row r="34" spans="1:1" ht="15.6" x14ac:dyDescent="0.25">
      <c r="A34" s="15" t="s">
        <v>62</v>
      </c>
    </row>
    <row r="35" spans="1:1" ht="15.6" x14ac:dyDescent="0.25">
      <c r="A35" s="15" t="s">
        <v>63</v>
      </c>
    </row>
  </sheetData>
  <sheetProtection sheet="1" objects="1" scenarios="1"/>
  <mergeCells count="18">
    <mergeCell ref="A29:A31"/>
    <mergeCell ref="A20:A22"/>
    <mergeCell ref="A23:A25"/>
    <mergeCell ref="A26:A28"/>
    <mergeCell ref="G2:G3"/>
    <mergeCell ref="E2:F2"/>
    <mergeCell ref="J1:L1"/>
    <mergeCell ref="A1:C1"/>
    <mergeCell ref="E1:H1"/>
    <mergeCell ref="A17:C17"/>
    <mergeCell ref="A10:A12"/>
    <mergeCell ref="A13:A15"/>
    <mergeCell ref="A4:A6"/>
    <mergeCell ref="A7:A9"/>
    <mergeCell ref="L2:L3"/>
    <mergeCell ref="J2:J3"/>
    <mergeCell ref="K2:K3"/>
    <mergeCell ref="H2:H3"/>
  </mergeCells>
  <phoneticPr fontId="0" type="noConversion"/>
  <pageMargins left="0.75" right="0.75" top="1" bottom="1" header="0.5" footer="0.5"/>
  <pageSetup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K20" sqref="K20"/>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9" bestFit="1" customWidth="1"/>
    <col min="8" max="8" width="13.6640625" customWidth="1"/>
  </cols>
  <sheetData>
    <row r="1" spans="1:8" x14ac:dyDescent="0.25">
      <c r="A1" s="286" t="s">
        <v>81</v>
      </c>
      <c r="B1" s="286"/>
      <c r="C1" s="286"/>
      <c r="D1" s="286"/>
    </row>
    <row r="2" spans="1:8" x14ac:dyDescent="0.25">
      <c r="A2" s="20" t="s">
        <v>79</v>
      </c>
      <c r="B2" s="3"/>
      <c r="C2" s="23" t="s">
        <v>82</v>
      </c>
      <c r="D2" s="3" t="s">
        <v>83</v>
      </c>
      <c r="F2" s="117" t="s">
        <v>1534</v>
      </c>
      <c r="G2" s="119">
        <v>0.45359237000000002</v>
      </c>
    </row>
    <row r="3" spans="1:8" x14ac:dyDescent="0.25">
      <c r="A3" s="103">
        <v>8.73</v>
      </c>
      <c r="B3" s="19" t="s">
        <v>0</v>
      </c>
      <c r="C3" s="22">
        <f>A3*0.8125</f>
        <v>7.0931250000000006</v>
      </c>
      <c r="D3" s="22">
        <f>A3*0.6875</f>
        <v>6.0018750000000001</v>
      </c>
      <c r="F3" s="56" t="s">
        <v>1535</v>
      </c>
      <c r="G3" s="119">
        <v>2.20462262185</v>
      </c>
    </row>
    <row r="4" spans="1:8" ht="26.4" x14ac:dyDescent="0.25">
      <c r="A4" s="20" t="s">
        <v>80</v>
      </c>
      <c r="B4" s="3"/>
      <c r="C4" s="23" t="s">
        <v>84</v>
      </c>
      <c r="D4" s="3" t="s">
        <v>85</v>
      </c>
      <c r="F4" s="117" t="s">
        <v>1536</v>
      </c>
      <c r="G4" s="119">
        <v>1.0566882049699999</v>
      </c>
    </row>
    <row r="5" spans="1:8" x14ac:dyDescent="0.25">
      <c r="A5" s="103">
        <v>7.57</v>
      </c>
      <c r="B5" s="19" t="s">
        <v>0</v>
      </c>
      <c r="C5" s="22">
        <f>A5*0.937</f>
        <v>7.093090000000001</v>
      </c>
      <c r="D5" s="22">
        <f>A5*0.7929</f>
        <v>6.0022530000000005</v>
      </c>
      <c r="F5" s="56" t="s">
        <v>1537</v>
      </c>
      <c r="G5" s="119">
        <v>0.94635294999999997</v>
      </c>
    </row>
    <row r="6" spans="1:8" x14ac:dyDescent="0.25">
      <c r="F6" s="118" t="s">
        <v>1538</v>
      </c>
      <c r="G6" s="119">
        <v>2.0863511218233199</v>
      </c>
    </row>
    <row r="7" spans="1:8" x14ac:dyDescent="0.25">
      <c r="A7" s="286" t="s">
        <v>78</v>
      </c>
      <c r="B7" s="286"/>
      <c r="C7" s="286"/>
      <c r="D7" s="286"/>
      <c r="F7" s="123" t="s">
        <v>1539</v>
      </c>
      <c r="G7" s="120">
        <v>154</v>
      </c>
      <c r="H7" s="121">
        <f>5/9*(G7-32)</f>
        <v>67.777777777777786</v>
      </c>
    </row>
    <row r="8" spans="1:8" x14ac:dyDescent="0.25">
      <c r="A8" s="21" t="s">
        <v>82</v>
      </c>
      <c r="B8" s="3"/>
      <c r="C8" s="300" t="s">
        <v>79</v>
      </c>
      <c r="D8" s="301"/>
      <c r="F8" s="118" t="s">
        <v>1540</v>
      </c>
      <c r="G8" s="119">
        <v>28.349519999999998</v>
      </c>
    </row>
    <row r="9" spans="1:8" x14ac:dyDescent="0.25">
      <c r="A9" s="103">
        <v>6</v>
      </c>
      <c r="B9" s="19" t="s">
        <v>0</v>
      </c>
      <c r="C9" s="298">
        <f>A9/0.8125</f>
        <v>7.384615384615385</v>
      </c>
      <c r="D9" s="299"/>
      <c r="F9" s="123" t="s">
        <v>1541</v>
      </c>
      <c r="G9" s="119">
        <v>0.26417205124199999</v>
      </c>
    </row>
    <row r="10" spans="1:8" ht="26.4" x14ac:dyDescent="0.25">
      <c r="A10" s="21" t="s">
        <v>83</v>
      </c>
      <c r="B10" s="3"/>
      <c r="C10" s="300" t="s">
        <v>79</v>
      </c>
      <c r="D10" s="301"/>
      <c r="F10" s="122" t="s">
        <v>1543</v>
      </c>
      <c r="G10" s="119">
        <v>4.5100000000000001E-4</v>
      </c>
    </row>
    <row r="11" spans="1:8" ht="26.4" x14ac:dyDescent="0.25">
      <c r="A11" s="103">
        <v>6</v>
      </c>
      <c r="B11" s="19" t="s">
        <v>0</v>
      </c>
      <c r="C11" s="298">
        <f>A11/0.6875</f>
        <v>8.7272727272727266</v>
      </c>
      <c r="D11" s="299"/>
      <c r="F11" s="122" t="s">
        <v>1542</v>
      </c>
      <c r="G11" s="119">
        <f>G10*17.22</f>
        <v>7.7662199999999999E-3</v>
      </c>
    </row>
    <row r="12" spans="1:8" x14ac:dyDescent="0.25">
      <c r="A12" s="21" t="s">
        <v>84</v>
      </c>
      <c r="B12" s="3"/>
      <c r="C12" s="300" t="s">
        <v>79</v>
      </c>
      <c r="D12" s="301"/>
    </row>
    <row r="13" spans="1:8" x14ac:dyDescent="0.25">
      <c r="A13" s="103">
        <v>6</v>
      </c>
      <c r="B13" s="19" t="s">
        <v>0</v>
      </c>
      <c r="C13" s="298">
        <f>A13/0.937</f>
        <v>6.4034151547491991</v>
      </c>
      <c r="D13" s="299"/>
      <c r="F13" s="59" t="s">
        <v>1677</v>
      </c>
      <c r="G13" s="186" t="s">
        <v>92</v>
      </c>
    </row>
    <row r="14" spans="1:8" x14ac:dyDescent="0.25">
      <c r="A14" s="21" t="s">
        <v>85</v>
      </c>
      <c r="B14" s="3"/>
      <c r="C14" s="300" t="s">
        <v>79</v>
      </c>
      <c r="D14" s="301"/>
      <c r="G14" s="186">
        <v>1.6</v>
      </c>
      <c r="H14" s="24" t="s">
        <v>1678</v>
      </c>
    </row>
    <row r="15" spans="1:8" x14ac:dyDescent="0.25">
      <c r="A15" s="103">
        <v>6</v>
      </c>
      <c r="B15" s="19" t="s">
        <v>0</v>
      </c>
      <c r="C15" s="298">
        <f>A15/0.7929</f>
        <v>7.567158531971244</v>
      </c>
      <c r="D15" s="299"/>
      <c r="G15" s="119">
        <v>0.38</v>
      </c>
      <c r="H15" s="24" t="s">
        <v>1679</v>
      </c>
    </row>
    <row r="16" spans="1:8" x14ac:dyDescent="0.25">
      <c r="G16" s="186" t="s">
        <v>1680</v>
      </c>
    </row>
    <row r="17" spans="1:8" x14ac:dyDescent="0.25">
      <c r="A17" s="24" t="s">
        <v>87</v>
      </c>
      <c r="G17" s="119">
        <v>4.18</v>
      </c>
      <c r="H17" s="24" t="s">
        <v>1678</v>
      </c>
    </row>
    <row r="18" spans="1:8" x14ac:dyDescent="0.25">
      <c r="A18" s="24" t="s">
        <v>86</v>
      </c>
      <c r="G18" s="119">
        <v>0.99904397700000003</v>
      </c>
      <c r="H18" s="24" t="s">
        <v>1679</v>
      </c>
    </row>
    <row r="19" spans="1:8" x14ac:dyDescent="0.25">
      <c r="A19" s="24" t="s">
        <v>88</v>
      </c>
    </row>
    <row r="20" spans="1:8" x14ac:dyDescent="0.25">
      <c r="A20" s="24" t="s">
        <v>89</v>
      </c>
    </row>
    <row r="23" spans="1:8" x14ac:dyDescent="0.25">
      <c r="B23" s="24"/>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7" sqref="B7"/>
    </sheetView>
  </sheetViews>
  <sheetFormatPr defaultRowHeight="13.2" x14ac:dyDescent="0.25"/>
  <cols>
    <col min="1" max="1" width="12" customWidth="1"/>
    <col min="2" max="2" width="11.6640625" customWidth="1"/>
    <col min="3" max="3" width="16" customWidth="1"/>
    <col min="4" max="4" width="4.6640625" customWidth="1"/>
  </cols>
  <sheetData>
    <row r="1" spans="1:6" x14ac:dyDescent="0.25">
      <c r="A1" s="286" t="s">
        <v>14</v>
      </c>
      <c r="B1" s="286"/>
      <c r="C1" s="286"/>
    </row>
    <row r="2" spans="1:6" x14ac:dyDescent="0.25">
      <c r="A2" s="1" t="s">
        <v>2</v>
      </c>
      <c r="B2" s="10">
        <v>12.0107</v>
      </c>
      <c r="C2" s="2" t="s">
        <v>1</v>
      </c>
    </row>
    <row r="3" spans="1:6" x14ac:dyDescent="0.25">
      <c r="A3" s="1" t="s">
        <v>3</v>
      </c>
      <c r="B3" s="10">
        <v>15.9994</v>
      </c>
      <c r="C3" s="2" t="s">
        <v>1</v>
      </c>
    </row>
    <row r="4" spans="1:6" x14ac:dyDescent="0.25">
      <c r="A4" s="1" t="s">
        <v>4</v>
      </c>
      <c r="B4" s="10">
        <v>1.0079400000000001</v>
      </c>
      <c r="C4" s="2" t="s">
        <v>1</v>
      </c>
    </row>
    <row r="5" spans="1:6" ht="23.25" customHeight="1" x14ac:dyDescent="0.25">
      <c r="A5" s="1" t="s">
        <v>5</v>
      </c>
      <c r="B5" s="11">
        <f>6.022*10^23</f>
        <v>6.0219999999999996E+23</v>
      </c>
      <c r="C5" s="11"/>
    </row>
    <row r="6" spans="1:6" ht="15.6" x14ac:dyDescent="0.25">
      <c r="A6" s="1" t="s">
        <v>8</v>
      </c>
      <c r="B6" s="12">
        <v>8.20578E-2</v>
      </c>
      <c r="C6" s="13" t="s">
        <v>9</v>
      </c>
    </row>
    <row r="7" spans="1:6" x14ac:dyDescent="0.25">
      <c r="A7" s="1" t="s">
        <v>10</v>
      </c>
      <c r="B7" s="14">
        <v>293.14999999999998</v>
      </c>
      <c r="C7" s="2" t="s">
        <v>15</v>
      </c>
    </row>
    <row r="8" spans="1:6" x14ac:dyDescent="0.25">
      <c r="A8" s="1" t="s">
        <v>11</v>
      </c>
      <c r="B8" s="12">
        <v>1</v>
      </c>
      <c r="C8" s="2" t="s">
        <v>12</v>
      </c>
    </row>
    <row r="11" spans="1:6" ht="15.6" x14ac:dyDescent="0.35">
      <c r="A11" s="248" t="s">
        <v>13</v>
      </c>
      <c r="B11" s="248"/>
      <c r="C11" s="248"/>
      <c r="D11" s="248"/>
      <c r="E11" s="248"/>
      <c r="F11" s="248"/>
    </row>
    <row r="12" spans="1:6" ht="20.25" customHeight="1" x14ac:dyDescent="0.25">
      <c r="A12" s="4" t="s">
        <v>45</v>
      </c>
      <c r="B12" s="4"/>
      <c r="C12" s="4" t="s">
        <v>7</v>
      </c>
      <c r="E12" t="s">
        <v>46</v>
      </c>
    </row>
    <row r="13" spans="1:6" ht="24" customHeight="1" x14ac:dyDescent="0.25">
      <c r="A13" s="9" t="s">
        <v>41</v>
      </c>
      <c r="B13" s="9" t="s">
        <v>44</v>
      </c>
      <c r="C13" s="9" t="s">
        <v>42</v>
      </c>
      <c r="E13" s="9" t="s">
        <v>43</v>
      </c>
    </row>
    <row r="14" spans="1:6" ht="15" x14ac:dyDescent="0.25">
      <c r="A14" s="4">
        <f>B2*6+B4*12+B3*6</f>
        <v>180.15588</v>
      </c>
      <c r="B14" s="9" t="s">
        <v>44</v>
      </c>
      <c r="C14" s="4">
        <f>2*(B2+B4*3+B2+B4*2+B3+B4)</f>
        <v>92.136879999999991</v>
      </c>
      <c r="D14" s="4" t="s">
        <v>6</v>
      </c>
      <c r="E14" s="4">
        <f>2*(B2+B3*2)</f>
        <v>88.019000000000005</v>
      </c>
      <c r="F14" s="4" t="s">
        <v>1</v>
      </c>
    </row>
  </sheetData>
  <sheetProtection sheet="1" objects="1" scenarios="1"/>
  <mergeCells count="2">
    <mergeCell ref="A1:C1"/>
    <mergeCell ref="A11:F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zoomScaleNormal="100" workbookViewId="0">
      <selection activeCell="D9" sqref="D9"/>
    </sheetView>
  </sheetViews>
  <sheetFormatPr defaultRowHeight="13.2" x14ac:dyDescent="0.25"/>
  <cols>
    <col min="1" max="2" width="10.33203125" customWidth="1"/>
    <col min="3" max="3" width="8.21875" customWidth="1"/>
    <col min="4" max="5" width="7.44140625" customWidth="1"/>
    <col min="6" max="6" width="4.5546875" customWidth="1"/>
    <col min="7" max="8" width="9.5546875" customWidth="1"/>
    <col min="9" max="9" width="8.109375" customWidth="1"/>
    <col min="10" max="10" width="7" customWidth="1"/>
    <col min="11" max="11" width="7.21875" customWidth="1"/>
    <col min="12" max="12" width="6.21875" customWidth="1"/>
    <col min="13" max="13" width="7.6640625" customWidth="1"/>
    <col min="14" max="14" width="6.6640625" customWidth="1"/>
    <col min="15" max="15" width="4.77734375" customWidth="1"/>
    <col min="16" max="16" width="1.6640625" customWidth="1"/>
    <col min="17" max="17" width="4.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x14ac:dyDescent="0.25">
      <c r="A1" s="55" t="s">
        <v>171</v>
      </c>
      <c r="B1" s="218" t="s">
        <v>934</v>
      </c>
      <c r="C1" s="218"/>
      <c r="D1" s="218"/>
      <c r="E1" s="218"/>
      <c r="G1" s="55" t="s">
        <v>136</v>
      </c>
      <c r="H1" s="218" t="s">
        <v>150</v>
      </c>
      <c r="I1" s="218"/>
      <c r="J1" s="218"/>
      <c r="K1" s="230" t="s">
        <v>166</v>
      </c>
      <c r="L1" s="231"/>
      <c r="M1" s="231"/>
      <c r="N1" s="231"/>
      <c r="O1" s="231"/>
      <c r="P1" s="231"/>
      <c r="Q1" s="232"/>
    </row>
    <row r="2" spans="1:22" ht="13.2" customHeight="1" x14ac:dyDescent="0.25">
      <c r="A2" s="60" t="s">
        <v>135</v>
      </c>
      <c r="B2" s="219" t="s">
        <v>935</v>
      </c>
      <c r="C2" s="219"/>
      <c r="D2" s="219"/>
      <c r="E2" s="219"/>
      <c r="G2" s="55" t="s">
        <v>137</v>
      </c>
      <c r="H2" s="239">
        <v>42931</v>
      </c>
      <c r="I2" s="239"/>
      <c r="J2" s="239"/>
      <c r="K2" s="233" t="s">
        <v>165</v>
      </c>
      <c r="L2" s="234"/>
      <c r="M2" s="234"/>
      <c r="N2" s="234"/>
      <c r="O2" s="234"/>
      <c r="P2" s="234"/>
      <c r="Q2" s="235"/>
    </row>
    <row r="4" spans="1:22" x14ac:dyDescent="0.25">
      <c r="A4" s="222" t="s">
        <v>1460</v>
      </c>
      <c r="B4" s="222"/>
      <c r="C4" s="222"/>
      <c r="D4" s="222"/>
      <c r="E4" s="222"/>
      <c r="G4" s="222" t="s">
        <v>138</v>
      </c>
      <c r="H4" s="222"/>
      <c r="I4" s="222"/>
      <c r="J4" s="222"/>
      <c r="K4" s="222"/>
      <c r="L4" s="222"/>
      <c r="M4" s="222"/>
      <c r="N4" s="222"/>
      <c r="O4" s="222"/>
      <c r="P4" s="222"/>
      <c r="Q4" s="222"/>
    </row>
    <row r="5" spans="1:22" ht="13.2" customHeight="1" x14ac:dyDescent="0.25">
      <c r="A5" s="223" t="s">
        <v>69</v>
      </c>
      <c r="B5" s="223"/>
      <c r="C5" s="223"/>
      <c r="D5" s="124" t="s">
        <v>168</v>
      </c>
      <c r="E5" s="223" t="s">
        <v>1494</v>
      </c>
      <c r="G5" s="223" t="str">
        <f>'Hops Calcs'!D5</f>
        <v>Species</v>
      </c>
      <c r="H5" s="223"/>
      <c r="I5" s="223"/>
      <c r="J5" s="223"/>
      <c r="K5" s="223" t="str">
        <f>'Hops Calcs'!C5</f>
        <v>Type</v>
      </c>
      <c r="L5" s="223" t="str">
        <f>'Hops Calcs'!E5</f>
        <v>Alpha (%)</v>
      </c>
      <c r="M5" s="124" t="str">
        <f>'Hops Calcs'!F5</f>
        <v>Qty</v>
      </c>
      <c r="N5" s="237" t="s">
        <v>1506</v>
      </c>
      <c r="O5" s="223" t="str">
        <f>'Hops Calcs'!B5</f>
        <v>Time (min)</v>
      </c>
      <c r="P5" s="223"/>
      <c r="Q5" s="223"/>
    </row>
    <row r="6" spans="1:22" x14ac:dyDescent="0.25">
      <c r="A6" s="224"/>
      <c r="B6" s="224"/>
      <c r="C6" s="224"/>
      <c r="D6" s="125" t="str">
        <f>'Brewhouse Setup &amp; Calcs'!$B$6</f>
        <v>lb</v>
      </c>
      <c r="E6" s="224"/>
      <c r="G6" s="224"/>
      <c r="H6" s="224"/>
      <c r="I6" s="224"/>
      <c r="J6" s="224"/>
      <c r="K6" s="224"/>
      <c r="L6" s="224"/>
      <c r="M6" s="125" t="str">
        <f>'Brewhouse Setup &amp; Calcs'!B7</f>
        <v>oz</v>
      </c>
      <c r="N6" s="238"/>
      <c r="O6" s="224"/>
      <c r="P6" s="224"/>
      <c r="Q6" s="224"/>
    </row>
    <row r="7" spans="1:22" x14ac:dyDescent="0.25">
      <c r="A7" s="243" t="str">
        <f>IF(ISBLANK('Grain &amp; Sugar Calcs'!B5),"",'Grain &amp; Sugar Calcs'!B5)</f>
        <v/>
      </c>
      <c r="B7" s="244"/>
      <c r="C7" s="245"/>
      <c r="D7" s="89" t="str">
        <f>IF(ISBLANK('Grain &amp; Sugar Calcs'!C5),"",'Grain &amp; Sugar Calcs'!C5)</f>
        <v/>
      </c>
      <c r="E7" s="126" t="str">
        <f>IF('Grain &amp; Sugar Calcs'!D5=0,"",'Grain &amp; Sugar Calcs'!D5)</f>
        <v/>
      </c>
      <c r="G7" s="243" t="str">
        <f>IF('Hops Calcs'!D7=0,"",'Hops Calcs'!D7)</f>
        <v/>
      </c>
      <c r="H7" s="244"/>
      <c r="I7" s="244"/>
      <c r="J7" s="245"/>
      <c r="K7" s="79" t="str">
        <f>IF('Hops Calcs'!C7=0,"",'Hops Calcs'!C7)</f>
        <v/>
      </c>
      <c r="L7" s="80" t="str">
        <f>IF('Hops Calcs'!E7=0,"",'Hops Calcs'!E7)</f>
        <v/>
      </c>
      <c r="M7" s="89" t="str">
        <f>IF('Hops Calcs'!F7=0,"",'Hops Calcs'!F7)</f>
        <v/>
      </c>
      <c r="N7" s="80" t="str">
        <f>'Hops Calcs'!G7</f>
        <v/>
      </c>
      <c r="O7" s="236" t="str">
        <f>IF(ISBLANK('Hops Calcs'!B7),"",'Hops Calcs'!B7)</f>
        <v/>
      </c>
      <c r="P7" s="236"/>
      <c r="Q7" s="236"/>
    </row>
    <row r="8" spans="1:22" x14ac:dyDescent="0.25">
      <c r="A8" s="243" t="str">
        <f>IF(ISBLANK('Grain &amp; Sugar Calcs'!B6),"",'Grain &amp; Sugar Calcs'!B6)</f>
        <v/>
      </c>
      <c r="B8" s="244"/>
      <c r="C8" s="245"/>
      <c r="D8" s="81" t="str">
        <f>IF(ISBLANK('Grain &amp; Sugar Calcs'!C6),"",'Grain &amp; Sugar Calcs'!C6)</f>
        <v/>
      </c>
      <c r="E8" s="126" t="str">
        <f>IF('Grain &amp; Sugar Calcs'!D6=0,"",'Grain &amp; Sugar Calcs'!D6)</f>
        <v/>
      </c>
      <c r="G8" s="243" t="str">
        <f>IF('Hops Calcs'!D8=0,"",'Hops Calcs'!D8)</f>
        <v/>
      </c>
      <c r="H8" s="244"/>
      <c r="I8" s="244"/>
      <c r="J8" s="245"/>
      <c r="K8" s="79" t="str">
        <f>IF('Hops Calcs'!C8=0,"",'Hops Calcs'!C8)</f>
        <v/>
      </c>
      <c r="L8" s="80" t="str">
        <f>IF('Hops Calcs'!E8=0,"",'Hops Calcs'!E8)</f>
        <v/>
      </c>
      <c r="M8" s="81" t="str">
        <f>IF('Hops Calcs'!F8=0,"",'Hops Calcs'!F8)</f>
        <v/>
      </c>
      <c r="N8" s="80" t="str">
        <f>'Hops Calcs'!G8</f>
        <v/>
      </c>
      <c r="O8" s="236" t="str">
        <f>IF(ISBLANK('Hops Calcs'!B8),"",'Hops Calcs'!B8)</f>
        <v/>
      </c>
      <c r="P8" s="236"/>
      <c r="Q8" s="236"/>
      <c r="U8" s="28"/>
      <c r="V8" s="28"/>
    </row>
    <row r="9" spans="1:22" x14ac:dyDescent="0.25">
      <c r="A9" s="243" t="str">
        <f>IF(ISBLANK('Grain &amp; Sugar Calcs'!B7),"",'Grain &amp; Sugar Calcs'!B7)</f>
        <v/>
      </c>
      <c r="B9" s="244"/>
      <c r="C9" s="245"/>
      <c r="D9" s="81" t="str">
        <f>IF(ISBLANK('Grain &amp; Sugar Calcs'!C7),"",'Grain &amp; Sugar Calcs'!C7)</f>
        <v/>
      </c>
      <c r="E9" s="126" t="str">
        <f>IF('Grain &amp; Sugar Calcs'!D7=0,"",'Grain &amp; Sugar Calcs'!D7)</f>
        <v/>
      </c>
      <c r="G9" s="243" t="str">
        <f>IF('Hops Calcs'!D9=0,"",'Hops Calcs'!D9)</f>
        <v/>
      </c>
      <c r="H9" s="244"/>
      <c r="I9" s="244"/>
      <c r="J9" s="245"/>
      <c r="K9" s="79" t="str">
        <f>IF('Hops Calcs'!C9=0,"",'Hops Calcs'!C9)</f>
        <v/>
      </c>
      <c r="L9" s="80" t="str">
        <f>IF('Hops Calcs'!E9=0,"",'Hops Calcs'!E9)</f>
        <v/>
      </c>
      <c r="M9" s="81" t="str">
        <f>IF('Hops Calcs'!F9=0,"",'Hops Calcs'!F9)</f>
        <v/>
      </c>
      <c r="N9" s="80" t="str">
        <f>'Hops Calcs'!G9</f>
        <v/>
      </c>
      <c r="O9" s="236" t="str">
        <f>IF(ISBLANK('Hops Calcs'!B9),"",'Hops Calcs'!B9)</f>
        <v/>
      </c>
      <c r="P9" s="236"/>
      <c r="Q9" s="236"/>
    </row>
    <row r="10" spans="1:22" s="28" customFormat="1" x14ac:dyDescent="0.25">
      <c r="A10" s="243" t="str">
        <f>IF(ISBLANK('Grain &amp; Sugar Calcs'!B8),"",'Grain &amp; Sugar Calcs'!B8)</f>
        <v/>
      </c>
      <c r="B10" s="244"/>
      <c r="C10" s="245"/>
      <c r="D10" s="81" t="str">
        <f>IF(ISBLANK('Grain &amp; Sugar Calcs'!C8),"",'Grain &amp; Sugar Calcs'!C8)</f>
        <v/>
      </c>
      <c r="E10" s="126" t="str">
        <f>IF('Grain &amp; Sugar Calcs'!D8=0,"",'Grain &amp; Sugar Calcs'!D8)</f>
        <v/>
      </c>
      <c r="G10" s="243" t="str">
        <f>IF('Hops Calcs'!D10=0,"",'Hops Calcs'!D10)</f>
        <v/>
      </c>
      <c r="H10" s="244"/>
      <c r="I10" s="244"/>
      <c r="J10" s="245"/>
      <c r="K10" s="79" t="str">
        <f>IF('Hops Calcs'!C10=0,"",'Hops Calcs'!C10)</f>
        <v/>
      </c>
      <c r="L10" s="80" t="str">
        <f>IF('Hops Calcs'!E10=0,"",'Hops Calcs'!E10)</f>
        <v/>
      </c>
      <c r="M10" s="81" t="str">
        <f>IF('Hops Calcs'!F10=0,"",'Hops Calcs'!F10)</f>
        <v/>
      </c>
      <c r="N10" s="80" t="str">
        <f>'Hops Calcs'!G10</f>
        <v/>
      </c>
      <c r="O10" s="236" t="str">
        <f>IF(ISBLANK('Hops Calcs'!B10),"",'Hops Calcs'!B10)</f>
        <v/>
      </c>
      <c r="P10" s="236"/>
      <c r="Q10" s="236"/>
      <c r="U10"/>
      <c r="V10"/>
    </row>
    <row r="11" spans="1:22" x14ac:dyDescent="0.25">
      <c r="A11" s="243" t="str">
        <f>IF(ISBLANK('Grain &amp; Sugar Calcs'!B9),"",'Grain &amp; Sugar Calcs'!B9)</f>
        <v/>
      </c>
      <c r="B11" s="244"/>
      <c r="C11" s="245"/>
      <c r="D11" s="81" t="str">
        <f>IF(ISBLANK('Grain &amp; Sugar Calcs'!C9),"",'Grain &amp; Sugar Calcs'!C9)</f>
        <v/>
      </c>
      <c r="E11" s="126" t="str">
        <f>IF('Grain &amp; Sugar Calcs'!D9=0,"",'Grain &amp; Sugar Calcs'!D9)</f>
        <v/>
      </c>
      <c r="G11" s="243" t="str">
        <f>IF('Hops Calcs'!D11=0,"",'Hops Calcs'!D11)</f>
        <v/>
      </c>
      <c r="H11" s="244"/>
      <c r="I11" s="244"/>
      <c r="J11" s="245"/>
      <c r="K11" s="79" t="str">
        <f>IF('Hops Calcs'!C11=0,"",'Hops Calcs'!C11)</f>
        <v/>
      </c>
      <c r="L11" s="80" t="str">
        <f>IF('Hops Calcs'!E11=0,"",'Hops Calcs'!E11)</f>
        <v/>
      </c>
      <c r="M11" s="81" t="str">
        <f>IF('Hops Calcs'!F11=0,"",'Hops Calcs'!F11)</f>
        <v/>
      </c>
      <c r="N11" s="80" t="str">
        <f>'Hops Calcs'!G11</f>
        <v/>
      </c>
      <c r="O11" s="236" t="str">
        <f>IF(ISBLANK('Hops Calcs'!B11),"",'Hops Calcs'!B11)</f>
        <v/>
      </c>
      <c r="P11" s="236"/>
      <c r="Q11" s="236"/>
    </row>
    <row r="12" spans="1:22" x14ac:dyDescent="0.25">
      <c r="A12" s="243" t="str">
        <f>IF(ISBLANK('Grain &amp; Sugar Calcs'!B10),"",'Grain &amp; Sugar Calcs'!B10)</f>
        <v/>
      </c>
      <c r="B12" s="244"/>
      <c r="C12" s="245"/>
      <c r="D12" s="81" t="str">
        <f>IF(ISBLANK('Grain &amp; Sugar Calcs'!C10),"",'Grain &amp; Sugar Calcs'!C10)</f>
        <v/>
      </c>
      <c r="E12" s="126" t="str">
        <f>IF('Grain &amp; Sugar Calcs'!D10=0,"",'Grain &amp; Sugar Calcs'!D10)</f>
        <v/>
      </c>
      <c r="G12" s="243" t="str">
        <f>IF('Hops Calcs'!D12=0,"",'Hops Calcs'!D12)</f>
        <v/>
      </c>
      <c r="H12" s="244"/>
      <c r="I12" s="244"/>
      <c r="J12" s="245"/>
      <c r="K12" s="79" t="str">
        <f>IF('Hops Calcs'!C12=0,"",'Hops Calcs'!C12)</f>
        <v/>
      </c>
      <c r="L12" s="79" t="str">
        <f>IF('Hops Calcs'!E12=0,"",'Hops Calcs'!E12)</f>
        <v/>
      </c>
      <c r="M12" s="81" t="str">
        <f>IF('Hops Calcs'!F12=0,"",'Hops Calcs'!F12)</f>
        <v/>
      </c>
      <c r="N12" s="78" t="str">
        <f>'Hops Calcs'!G12</f>
        <v/>
      </c>
      <c r="O12" s="236" t="str">
        <f>IF(ISBLANK('Hops Calcs'!B12),"",'Hops Calcs'!B12)</f>
        <v/>
      </c>
      <c r="P12" s="236"/>
      <c r="Q12" s="236"/>
    </row>
    <row r="13" spans="1:22" x14ac:dyDescent="0.25">
      <c r="A13" s="243" t="str">
        <f>IF(ISBLANK('Grain &amp; Sugar Calcs'!B11),"",'Grain &amp; Sugar Calcs'!B11)</f>
        <v/>
      </c>
      <c r="B13" s="244"/>
      <c r="C13" s="245"/>
      <c r="D13" s="81" t="str">
        <f>IF(ISBLANK('Grain &amp; Sugar Calcs'!C11),"",'Grain &amp; Sugar Calcs'!C11)</f>
        <v/>
      </c>
      <c r="E13" s="126" t="str">
        <f>IF('Grain &amp; Sugar Calcs'!D11=0,"",'Grain &amp; Sugar Calcs'!D11)</f>
        <v/>
      </c>
      <c r="G13" s="243" t="str">
        <f>IF('Hops Calcs'!D13=0,"",'Hops Calcs'!D13)</f>
        <v/>
      </c>
      <c r="H13" s="244"/>
      <c r="I13" s="244"/>
      <c r="J13" s="245"/>
      <c r="K13" s="79" t="str">
        <f>IF('Hops Calcs'!C13=0,"",'Hops Calcs'!C13)</f>
        <v/>
      </c>
      <c r="L13" s="79" t="str">
        <f>IF('Hops Calcs'!E13=0,"",'Hops Calcs'!E13)</f>
        <v/>
      </c>
      <c r="M13" s="81" t="str">
        <f>IF('Hops Calcs'!F13=0,"",'Hops Calcs'!F13)</f>
        <v/>
      </c>
      <c r="N13" s="78" t="str">
        <f>'Hops Calcs'!G13</f>
        <v/>
      </c>
      <c r="O13" s="236" t="str">
        <f>IF(ISBLANK('Hops Calcs'!B13),"",'Hops Calcs'!B13)</f>
        <v/>
      </c>
      <c r="P13" s="236"/>
      <c r="Q13" s="236"/>
    </row>
    <row r="14" spans="1:22" x14ac:dyDescent="0.25">
      <c r="A14" s="243" t="str">
        <f>IF(ISBLANK('Grain &amp; Sugar Calcs'!B12),"",'Grain &amp; Sugar Calcs'!B12)</f>
        <v/>
      </c>
      <c r="B14" s="244"/>
      <c r="C14" s="245"/>
      <c r="D14" s="81" t="str">
        <f>IF(ISBLANK('Grain &amp; Sugar Calcs'!C12),"",'Grain &amp; Sugar Calcs'!C12)</f>
        <v/>
      </c>
      <c r="E14" s="126" t="str">
        <f>IF('Grain &amp; Sugar Calcs'!D12=0,"",'Grain &amp; Sugar Calcs'!D12)</f>
        <v/>
      </c>
      <c r="G14" s="243" t="str">
        <f>IF('Hops Calcs'!D14=0,"",'Hops Calcs'!D14)</f>
        <v/>
      </c>
      <c r="H14" s="244"/>
      <c r="I14" s="244"/>
      <c r="J14" s="245"/>
      <c r="K14" s="79" t="str">
        <f>IF('Hops Calcs'!C14=0,"",'Hops Calcs'!C14)</f>
        <v/>
      </c>
      <c r="L14" s="79" t="str">
        <f>IF('Hops Calcs'!E14=0,"",'Hops Calcs'!E14)</f>
        <v/>
      </c>
      <c r="M14" s="81" t="str">
        <f>IF('Hops Calcs'!F14=0,"",'Hops Calcs'!F14)</f>
        <v/>
      </c>
      <c r="N14" s="78" t="str">
        <f>'Hops Calcs'!G14</f>
        <v/>
      </c>
      <c r="O14" s="236" t="str">
        <f>IF(ISBLANK('Hops Calcs'!B14),"",'Hops Calcs'!B14)</f>
        <v/>
      </c>
      <c r="P14" s="236"/>
      <c r="Q14" s="236"/>
    </row>
    <row r="15" spans="1:22" x14ac:dyDescent="0.25">
      <c r="A15" s="243" t="str">
        <f>IF(ISBLANK('Grain &amp; Sugar Calcs'!B13),"",'Grain &amp; Sugar Calcs'!B13)</f>
        <v/>
      </c>
      <c r="B15" s="244"/>
      <c r="C15" s="245"/>
      <c r="D15" s="81" t="str">
        <f>IF(ISBLANK('Grain &amp; Sugar Calcs'!C13),"",'Grain &amp; Sugar Calcs'!C13)</f>
        <v/>
      </c>
      <c r="E15" s="126" t="str">
        <f>IF('Grain &amp; Sugar Calcs'!D13=0,"",'Grain &amp; Sugar Calcs'!D13)</f>
        <v/>
      </c>
      <c r="G15" s="243" t="str">
        <f>IF('Hops Calcs'!D15=0,"",'Hops Calcs'!D15)</f>
        <v/>
      </c>
      <c r="H15" s="244"/>
      <c r="I15" s="244"/>
      <c r="J15" s="245"/>
      <c r="K15" s="79" t="str">
        <f>IF('Hops Calcs'!C15=0,"",'Hops Calcs'!C15)</f>
        <v/>
      </c>
      <c r="L15" s="79" t="str">
        <f>IF('Hops Calcs'!E15=0,"",'Hops Calcs'!E15)</f>
        <v/>
      </c>
      <c r="M15" s="81" t="str">
        <f>IF('Hops Calcs'!F15=0,"",'Hops Calcs'!F15)</f>
        <v/>
      </c>
      <c r="N15" s="78" t="str">
        <f>'Hops Calcs'!G15</f>
        <v/>
      </c>
      <c r="O15" s="236" t="str">
        <f>IF(ISBLANK('Hops Calcs'!B15),"",'Hops Calcs'!B15)</f>
        <v/>
      </c>
      <c r="P15" s="236"/>
      <c r="Q15" s="236"/>
    </row>
    <row r="17" spans="1:17" x14ac:dyDescent="0.25">
      <c r="A17" s="216" t="s">
        <v>144</v>
      </c>
      <c r="B17" s="225"/>
      <c r="C17" s="225"/>
      <c r="D17" s="225"/>
      <c r="E17" s="217"/>
      <c r="G17" s="216" t="s">
        <v>1511</v>
      </c>
      <c r="H17" s="225"/>
      <c r="I17" s="225"/>
      <c r="J17" s="225"/>
      <c r="K17" s="225"/>
      <c r="L17" s="225"/>
      <c r="M17" s="225"/>
      <c r="N17" s="225"/>
      <c r="O17" s="225"/>
      <c r="P17" s="225"/>
      <c r="Q17" s="217"/>
    </row>
    <row r="18" spans="1:17" x14ac:dyDescent="0.25">
      <c r="A18" s="208" t="s">
        <v>146</v>
      </c>
      <c r="B18" s="246"/>
      <c r="C18" s="82" t="s">
        <v>108</v>
      </c>
      <c r="D18" s="88" t="s">
        <v>155</v>
      </c>
      <c r="E18" s="82" t="s">
        <v>103</v>
      </c>
      <c r="G18" s="240" t="s">
        <v>1508</v>
      </c>
      <c r="H18" s="240"/>
      <c r="I18" s="240"/>
      <c r="J18" s="240"/>
      <c r="K18" s="240"/>
      <c r="L18" s="240" t="s">
        <v>1507</v>
      </c>
      <c r="M18" s="240"/>
      <c r="N18" s="82" t="s">
        <v>1510</v>
      </c>
      <c r="O18" s="208" t="s">
        <v>21</v>
      </c>
      <c r="P18" s="209"/>
      <c r="Q18" s="146" t="str">
        <f>'Brewhouse Setup &amp; Calcs'!$B$4</f>
        <v>°F</v>
      </c>
    </row>
    <row r="19" spans="1:17" x14ac:dyDescent="0.25">
      <c r="A19" s="197" t="str">
        <f>'Brewhouse Setup &amp; Calcs'!A12</f>
        <v>Ambient Grain Temp</v>
      </c>
      <c r="B19" s="198"/>
      <c r="C19" s="80">
        <f>'Brewhouse Setup &amp; Calcs'!B12</f>
        <v>68</v>
      </c>
      <c r="D19" s="48"/>
      <c r="E19" s="79" t="str">
        <f>'Brewhouse Setup &amp; Calcs'!$B$4</f>
        <v>°F</v>
      </c>
      <c r="G19" s="199" t="s">
        <v>885</v>
      </c>
      <c r="H19" s="200"/>
      <c r="I19" s="200"/>
      <c r="J19" s="200"/>
      <c r="K19" s="201"/>
      <c r="L19" s="241" t="str">
        <f>IF(ISBLANK(G19),"",VLOOKUP(G19,yeast_table[#All],3))</f>
        <v>Wyeast</v>
      </c>
      <c r="M19" s="242"/>
      <c r="N19" s="128">
        <f>IF(ISBLANK(G19),"",VLOOKUP(G19,yeast_table[#All],6))</f>
        <v>0.75</v>
      </c>
      <c r="O19" s="149">
        <f>IF(ISBLANK(G19),"",(IF('Brewhouse Setup &amp; Calcs'!$B$4="°C",5/9*(VLOOKUP(G19,yeast_table[#All],7)-32),VLOOKUP(G19,yeast_table[#All],7))))</f>
        <v>64</v>
      </c>
      <c r="P19" s="147" t="s">
        <v>1639</v>
      </c>
      <c r="Q19" s="148">
        <f>IF(ISBLANK(G19),"",(IF('Brewhouse Setup &amp; Calcs'!$B$4="°C",5/9*(VLOOKUP(G19,yeast_table[#All],8)-32),VLOOKUP(G19,yeast_table[#All],8))))</f>
        <v>75</v>
      </c>
    </row>
    <row r="20" spans="1:17" x14ac:dyDescent="0.25">
      <c r="A20" s="197" t="str">
        <f>'Brewhouse Setup &amp; Calcs'!A13</f>
        <v>Desired Mash Temp</v>
      </c>
      <c r="B20" s="198"/>
      <c r="C20" s="80">
        <f>'Brewhouse Setup &amp; Calcs'!B13</f>
        <v>151</v>
      </c>
      <c r="D20" s="48"/>
      <c r="E20" s="79" t="str">
        <f>'Brewhouse Setup &amp; Calcs'!$B$4</f>
        <v>°F</v>
      </c>
      <c r="G20" s="202" t="s">
        <v>148</v>
      </c>
      <c r="H20" s="203"/>
      <c r="I20" s="203"/>
      <c r="J20" s="203"/>
      <c r="K20" s="203"/>
      <c r="L20" s="204"/>
      <c r="M20" s="220" t="s">
        <v>134</v>
      </c>
      <c r="N20" s="221"/>
      <c r="O20" s="202" t="s">
        <v>147</v>
      </c>
      <c r="P20" s="203"/>
      <c r="Q20" s="204"/>
    </row>
    <row r="21" spans="1:17" x14ac:dyDescent="0.25">
      <c r="A21" s="197" t="str">
        <f>'Brewhouse Setup &amp; Calcs'!A14</f>
        <v>Water/Grist Ratio</v>
      </c>
      <c r="B21" s="198"/>
      <c r="C21" s="79">
        <f>'Brewhouse Setup &amp; Calcs'!B14</f>
        <v>1.375</v>
      </c>
      <c r="D21" s="48"/>
      <c r="E21" s="79" t="str">
        <f>'Brewhouse Setup &amp; Calcs'!C14</f>
        <v>qt/lb</v>
      </c>
      <c r="G21" s="199" t="s">
        <v>1671</v>
      </c>
      <c r="H21" s="200"/>
      <c r="I21" s="200"/>
      <c r="J21" s="200"/>
      <c r="K21" s="200"/>
      <c r="L21" s="201"/>
      <c r="M21" s="199" t="s">
        <v>1674</v>
      </c>
      <c r="N21" s="201"/>
      <c r="O21" s="199" t="s">
        <v>232</v>
      </c>
      <c r="P21" s="200"/>
      <c r="Q21" s="201"/>
    </row>
    <row r="22" spans="1:17" x14ac:dyDescent="0.25">
      <c r="A22" s="197" t="str">
        <f>'Brewhouse Setup &amp; Calcs'!A37</f>
        <v>Strike Water to Add</v>
      </c>
      <c r="B22" s="198"/>
      <c r="C22" s="80">
        <f>'Brewhouse Setup &amp; Calcs'!B37</f>
        <v>0</v>
      </c>
      <c r="D22" s="48"/>
      <c r="E22" s="79" t="str">
        <f>'Brewhouse Setup &amp; Calcs'!$B$5</f>
        <v>qt</v>
      </c>
      <c r="G22" s="199" t="s">
        <v>1670</v>
      </c>
      <c r="H22" s="200"/>
      <c r="I22" s="200"/>
      <c r="J22" s="200"/>
      <c r="K22" s="200"/>
      <c r="L22" s="201"/>
      <c r="M22" s="199" t="s">
        <v>1676</v>
      </c>
      <c r="N22" s="201"/>
      <c r="O22" s="199" t="s">
        <v>1675</v>
      </c>
      <c r="P22" s="200"/>
      <c r="Q22" s="201"/>
    </row>
    <row r="23" spans="1:17" ht="13.2" customHeight="1" x14ac:dyDescent="0.25">
      <c r="A23" s="197" t="str">
        <f>'Brewhouse Setup &amp; Calcs'!A38</f>
        <v>Strike Water Temp</v>
      </c>
      <c r="B23" s="198"/>
      <c r="C23" s="80">
        <f>'Brewhouse Setup &amp; Calcs'!B38</f>
        <v>163.07272727272726</v>
      </c>
      <c r="D23" s="48"/>
      <c r="E23" s="79" t="str">
        <f>'Brewhouse Setup &amp; Calcs'!$B$4</f>
        <v>°F</v>
      </c>
      <c r="G23" s="199" t="s">
        <v>1682</v>
      </c>
      <c r="H23" s="200"/>
      <c r="I23" s="200"/>
      <c r="J23" s="200"/>
      <c r="K23" s="200"/>
      <c r="L23" s="201"/>
      <c r="M23" s="199" t="s">
        <v>1683</v>
      </c>
      <c r="N23" s="201"/>
      <c r="O23" s="199" t="s">
        <v>1684</v>
      </c>
      <c r="P23" s="200"/>
      <c r="Q23" s="201"/>
    </row>
    <row r="24" spans="1:17" x14ac:dyDescent="0.25">
      <c r="A24" s="250" t="s">
        <v>143</v>
      </c>
      <c r="B24" s="251"/>
      <c r="C24" s="79">
        <f>'Brewhouse Setup &amp; Calcs'!$B$43</f>
        <v>2</v>
      </c>
      <c r="D24" s="227"/>
      <c r="E24" s="228"/>
      <c r="G24" s="199"/>
      <c r="H24" s="200"/>
      <c r="I24" s="200"/>
      <c r="J24" s="200"/>
      <c r="K24" s="200"/>
      <c r="L24" s="201"/>
      <c r="M24" s="199"/>
      <c r="N24" s="201"/>
      <c r="O24" s="199"/>
      <c r="P24" s="200"/>
      <c r="Q24" s="201"/>
    </row>
    <row r="25" spans="1:17" x14ac:dyDescent="0.25">
      <c r="A25" s="197" t="str">
        <f>'Brewhouse Setup &amp; Calcs'!A46</f>
        <v>Add for 1st Step</v>
      </c>
      <c r="B25" s="198"/>
      <c r="C25" s="80">
        <f>'Brewhouse Setup &amp; Calcs'!B46</f>
        <v>16.165624999999999</v>
      </c>
      <c r="D25" s="48"/>
      <c r="E25" s="79" t="str">
        <f>'Brewhouse Setup &amp; Calcs'!$B$5</f>
        <v>qt</v>
      </c>
      <c r="G25" s="199"/>
      <c r="H25" s="200"/>
      <c r="I25" s="200"/>
      <c r="J25" s="200"/>
      <c r="K25" s="200"/>
      <c r="L25" s="201"/>
      <c r="M25" s="205"/>
      <c r="N25" s="207"/>
      <c r="O25" s="205"/>
      <c r="P25" s="206"/>
      <c r="Q25" s="207"/>
    </row>
    <row r="26" spans="1:17" x14ac:dyDescent="0.25">
      <c r="A26" s="250" t="s">
        <v>1657</v>
      </c>
      <c r="B26" s="251"/>
      <c r="C26" s="80">
        <f>'Brewhouse Setup &amp; Calcs'!B47</f>
        <v>14.665625</v>
      </c>
      <c r="D26" s="156"/>
      <c r="E26" s="153" t="str">
        <f>'Brewhouse Setup &amp; Calcs'!$B$5</f>
        <v>qt</v>
      </c>
      <c r="G26" s="199"/>
      <c r="H26" s="200"/>
      <c r="I26" s="200"/>
      <c r="J26" s="200"/>
      <c r="K26" s="200"/>
      <c r="L26" s="201"/>
      <c r="M26" s="205"/>
      <c r="N26" s="207"/>
      <c r="O26" s="205"/>
      <c r="P26" s="206"/>
      <c r="Q26" s="207"/>
    </row>
    <row r="27" spans="1:17" x14ac:dyDescent="0.25">
      <c r="A27" s="197" t="str">
        <f>'Brewhouse Setup &amp; Calcs'!A48</f>
        <v>Add/Drain for 2nd Step</v>
      </c>
      <c r="B27" s="198"/>
      <c r="C27" s="80">
        <f>'Brewhouse Setup &amp; Calcs'!B48</f>
        <v>14.665625</v>
      </c>
      <c r="D27" s="48"/>
      <c r="E27" s="79" t="str">
        <f>'Brewhouse Setup &amp; Calcs'!$B$5</f>
        <v>qt</v>
      </c>
      <c r="G27" s="199"/>
      <c r="H27" s="200"/>
      <c r="I27" s="200"/>
      <c r="J27" s="200"/>
      <c r="K27" s="200"/>
      <c r="L27" s="201"/>
      <c r="M27" s="249"/>
      <c r="N27" s="249"/>
      <c r="O27" s="249"/>
      <c r="P27" s="249"/>
      <c r="Q27" s="249"/>
    </row>
    <row r="28" spans="1:17" x14ac:dyDescent="0.25">
      <c r="A28" s="197" t="str">
        <f>'Brewhouse Setup &amp; Calcs'!A49</f>
        <v>Add/Drain for 3rd Step</v>
      </c>
      <c r="B28" s="198"/>
      <c r="C28" s="79">
        <f>'Brewhouse Setup &amp; Calcs'!B49</f>
        <v>0</v>
      </c>
      <c r="D28" s="48"/>
      <c r="E28" s="79" t="str">
        <f>'Brewhouse Setup &amp; Calcs'!$B$5</f>
        <v>qt</v>
      </c>
    </row>
    <row r="29" spans="1:17" ht="13.2" customHeight="1" x14ac:dyDescent="0.25">
      <c r="B29" s="177"/>
      <c r="C29" s="177"/>
      <c r="D29" s="177"/>
      <c r="E29" s="177"/>
      <c r="F29" s="177"/>
      <c r="I29" s="86" t="s">
        <v>1512</v>
      </c>
      <c r="J29" s="82" t="s">
        <v>155</v>
      </c>
      <c r="K29" s="69" t="s">
        <v>103</v>
      </c>
      <c r="N29" s="85" t="s">
        <v>1512</v>
      </c>
      <c r="O29" s="208" t="s">
        <v>155</v>
      </c>
      <c r="P29" s="209"/>
      <c r="Q29" s="209"/>
    </row>
    <row r="30" spans="1:17" ht="13.2" customHeight="1" x14ac:dyDescent="0.25">
      <c r="A30" s="188" t="s">
        <v>1685</v>
      </c>
      <c r="B30" s="189"/>
      <c r="C30" s="189"/>
      <c r="D30" s="189"/>
      <c r="E30" s="189"/>
      <c r="F30" s="190"/>
      <c r="H30" s="55" t="s">
        <v>123</v>
      </c>
      <c r="I30" s="129">
        <f>'Brewhouse Setup &amp; Calcs'!B35</f>
        <v>29.331250000000001</v>
      </c>
      <c r="J30" s="83"/>
      <c r="K30" s="92" t="str">
        <f>'Brewhouse Setup &amp; Calcs'!B5</f>
        <v>qt</v>
      </c>
      <c r="M30" s="55" t="s">
        <v>1493</v>
      </c>
      <c r="N30" s="132">
        <f>'Brewhouse Setup &amp; Calcs'!B16</f>
        <v>0.72</v>
      </c>
      <c r="O30" s="210" t="str">
        <f>IF(ISBLANK(J38),"",((J38-1)*1000)/('Grain &amp; Sugar Calcs'!H14/IF('Brewhouse Setup &amp; Calcs'!B5="Liters",(1.056688*J30/4),(J30/4))))</f>
        <v/>
      </c>
      <c r="P30" s="211"/>
      <c r="Q30" s="211"/>
    </row>
    <row r="31" spans="1:17" x14ac:dyDescent="0.25">
      <c r="A31" s="191"/>
      <c r="B31" s="192"/>
      <c r="C31" s="192"/>
      <c r="D31" s="192"/>
      <c r="E31" s="192"/>
      <c r="F31" s="193"/>
      <c r="H31" s="55" t="s">
        <v>140</v>
      </c>
      <c r="I31" s="130">
        <f>'Brewhouse Setup &amp; Calcs'!$B$17</f>
        <v>90</v>
      </c>
      <c r="J31" s="84"/>
      <c r="K31" s="93" t="str">
        <f>'Brewhouse Setup &amp; Calcs'!C17</f>
        <v>min</v>
      </c>
      <c r="M31" s="55" t="s">
        <v>1492</v>
      </c>
      <c r="N31" s="133">
        <f>'Hops Calcs'!J16</f>
        <v>0</v>
      </c>
      <c r="O31" s="212" t="str">
        <f>IF(ISBLANK(J32),"",'Hops Calcs'!J16*I32/J32)</f>
        <v/>
      </c>
      <c r="P31" s="213"/>
      <c r="Q31" s="213"/>
    </row>
    <row r="32" spans="1:17" x14ac:dyDescent="0.25">
      <c r="A32" s="191"/>
      <c r="B32" s="192"/>
      <c r="C32" s="192"/>
      <c r="D32" s="192"/>
      <c r="E32" s="192"/>
      <c r="F32" s="193"/>
      <c r="H32" s="55" t="s">
        <v>141</v>
      </c>
      <c r="I32" s="129">
        <f>'Brewhouse Setup &amp; Calcs'!B53</f>
        <v>23.75</v>
      </c>
      <c r="J32" s="83"/>
      <c r="K32" s="127" t="str">
        <f>'Brewhouse Setup &amp; Calcs'!C53</f>
        <v>qt</v>
      </c>
      <c r="M32" s="55" t="s">
        <v>149</v>
      </c>
      <c r="N32" s="132">
        <f>(I39-I40)*(46.0688/44.0098)/I40/0.794</f>
        <v>0</v>
      </c>
      <c r="O32" s="210" t="str">
        <f>IF(ISBLANK(J40),"",(J39-J40)*(46.0688/44.0098)/J40/0.794)</f>
        <v/>
      </c>
      <c r="P32" s="211"/>
      <c r="Q32" s="211"/>
    </row>
    <row r="33" spans="1:23" x14ac:dyDescent="0.25">
      <c r="A33" s="191"/>
      <c r="B33" s="192"/>
      <c r="C33" s="192"/>
      <c r="D33" s="192"/>
      <c r="E33" s="192"/>
      <c r="F33" s="193"/>
      <c r="H33" s="55" t="s">
        <v>139</v>
      </c>
      <c r="I33" s="131">
        <f>'Brewhouse Setup &amp; Calcs'!$B$11</f>
        <v>21</v>
      </c>
      <c r="J33" s="83"/>
      <c r="K33" s="94" t="str">
        <f>'Brewhouse Setup &amp; Calcs'!$C$11</f>
        <v>qt</v>
      </c>
      <c r="M33" s="87" t="s">
        <v>1545</v>
      </c>
      <c r="N33" s="134">
        <f>N19</f>
        <v>0.75</v>
      </c>
      <c r="O33" s="214" t="str">
        <f>IF(ISBLANK(J40),"",(J39-J40)/(J39-1))</f>
        <v/>
      </c>
      <c r="P33" s="215"/>
      <c r="Q33" s="215"/>
    </row>
    <row r="34" spans="1:23" x14ac:dyDescent="0.25">
      <c r="A34" s="191"/>
      <c r="B34" s="192"/>
      <c r="C34" s="192"/>
      <c r="D34" s="192"/>
      <c r="E34" s="192"/>
      <c r="F34" s="193"/>
      <c r="M34" s="55"/>
      <c r="N34" s="76"/>
      <c r="O34" s="248"/>
      <c r="P34" s="248"/>
      <c r="Q34" s="248"/>
    </row>
    <row r="35" spans="1:23" ht="13.2" customHeight="1" x14ac:dyDescent="0.25">
      <c r="A35" s="191"/>
      <c r="B35" s="192"/>
      <c r="C35" s="192"/>
      <c r="D35" s="192"/>
      <c r="E35" s="192"/>
      <c r="F35" s="193"/>
      <c r="J35" s="229" t="s">
        <v>155</v>
      </c>
      <c r="K35" s="229"/>
      <c r="L35" s="90"/>
      <c r="Q35" s="52"/>
      <c r="R35" s="52"/>
      <c r="S35" s="52"/>
      <c r="T35" s="52"/>
      <c r="U35" s="52"/>
      <c r="V35" s="52"/>
      <c r="W35" s="52"/>
    </row>
    <row r="36" spans="1:23" ht="13.2" customHeight="1" x14ac:dyDescent="0.25">
      <c r="A36" s="191"/>
      <c r="B36" s="192"/>
      <c r="C36" s="192"/>
      <c r="D36" s="192"/>
      <c r="E36" s="192"/>
      <c r="F36" s="193"/>
      <c r="J36" s="226" t="s">
        <v>161</v>
      </c>
      <c r="K36" s="216" t="s">
        <v>162</v>
      </c>
      <c r="L36" s="217"/>
      <c r="M36" s="247" t="s">
        <v>1544</v>
      </c>
      <c r="N36" s="247"/>
      <c r="O36" s="247"/>
      <c r="P36" s="247"/>
      <c r="Q36" s="247"/>
      <c r="R36" s="52"/>
      <c r="S36" s="52"/>
      <c r="T36" s="52"/>
      <c r="U36" s="52"/>
      <c r="V36" s="52"/>
      <c r="W36" s="52"/>
    </row>
    <row r="37" spans="1:23" ht="13.2" customHeight="1" x14ac:dyDescent="0.25">
      <c r="A37" s="191"/>
      <c r="B37" s="192"/>
      <c r="C37" s="192"/>
      <c r="D37" s="192"/>
      <c r="E37" s="192"/>
      <c r="F37" s="193"/>
      <c r="I37" s="91" t="s">
        <v>1512</v>
      </c>
      <c r="J37" s="223"/>
      <c r="K37" s="69" t="s">
        <v>163</v>
      </c>
      <c r="L37" s="82" t="s">
        <v>164</v>
      </c>
      <c r="M37" s="247"/>
      <c r="N37" s="247"/>
      <c r="O37" s="247"/>
      <c r="P37" s="247"/>
      <c r="Q37" s="247"/>
      <c r="R37" s="52"/>
      <c r="S37" s="52"/>
      <c r="T37" s="52"/>
      <c r="U37" s="52"/>
      <c r="V37" s="52"/>
      <c r="W37" s="52"/>
    </row>
    <row r="38" spans="1:23" x14ac:dyDescent="0.25">
      <c r="A38" s="191"/>
      <c r="B38" s="192"/>
      <c r="C38" s="192"/>
      <c r="D38" s="192"/>
      <c r="E38" s="192"/>
      <c r="F38" s="193"/>
      <c r="H38" s="55" t="s">
        <v>156</v>
      </c>
      <c r="I38" s="135">
        <f>'Grain &amp; Sugar Calcs'!J20</f>
        <v>1</v>
      </c>
      <c r="J38" s="98"/>
      <c r="K38" s="100"/>
      <c r="L38" s="137" t="str">
        <f>IF(K38="","",(K38/(258.6-((K38/258.2)*227.1)))+1)</f>
        <v/>
      </c>
      <c r="M38" s="247"/>
      <c r="N38" s="247"/>
      <c r="O38" s="247"/>
      <c r="P38" s="247"/>
      <c r="Q38" s="247"/>
      <c r="R38" s="52"/>
      <c r="S38" s="52"/>
      <c r="T38" s="52"/>
      <c r="U38" s="52"/>
      <c r="V38" s="52"/>
      <c r="W38" s="52"/>
    </row>
    <row r="39" spans="1:23" x14ac:dyDescent="0.25">
      <c r="A39" s="191"/>
      <c r="B39" s="192"/>
      <c r="C39" s="192"/>
      <c r="D39" s="192"/>
      <c r="E39" s="192"/>
      <c r="F39" s="193"/>
      <c r="H39" s="55" t="s">
        <v>157</v>
      </c>
      <c r="I39" s="136">
        <f>'Grain &amp; Sugar Calcs'!K20</f>
        <v>1</v>
      </c>
      <c r="J39" s="99"/>
      <c r="K39" s="101"/>
      <c r="L39" s="138" t="str">
        <f>IF(K39="","", (K39 / (258.6-((K39 / 258.2)*227.1))) + 1)</f>
        <v/>
      </c>
      <c r="M39" s="247"/>
      <c r="N39" s="247"/>
      <c r="O39" s="247"/>
      <c r="P39" s="247"/>
      <c r="Q39" s="247"/>
      <c r="R39" s="52"/>
      <c r="S39" s="52"/>
      <c r="T39" s="52"/>
      <c r="U39" s="52"/>
      <c r="V39" s="52"/>
      <c r="W39" s="52"/>
    </row>
    <row r="40" spans="1:23" ht="13.2" customHeight="1" x14ac:dyDescent="0.25">
      <c r="A40" s="194"/>
      <c r="B40" s="195"/>
      <c r="C40" s="195"/>
      <c r="D40" s="195"/>
      <c r="E40" s="195"/>
      <c r="F40" s="196"/>
      <c r="H40" s="55" t="s">
        <v>158</v>
      </c>
      <c r="I40" s="136">
        <f>1+('Grain &amp; Sugar Calcs'!K16*(1-N33)/1000)</f>
        <v>1</v>
      </c>
      <c r="J40" s="99"/>
      <c r="K40" s="101"/>
      <c r="L40" s="138" t="str">
        <f>IF(K40=0, "", 1 - 0.000856829*(K39/'Brewhouse Setup &amp; Calcs'!B31) + 0.00349412*(K40/'Brewhouse Setup &amp; Calcs'!B31))</f>
        <v/>
      </c>
      <c r="M40" s="247"/>
      <c r="N40" s="247"/>
      <c r="O40" s="247"/>
      <c r="P40" s="247"/>
      <c r="Q40" s="247"/>
      <c r="R40" s="52"/>
      <c r="S40" s="52"/>
      <c r="T40" s="52"/>
      <c r="U40" s="52"/>
    </row>
    <row r="41" spans="1:23" x14ac:dyDescent="0.25">
      <c r="A41" s="52"/>
      <c r="B41" s="52"/>
      <c r="C41" s="52"/>
      <c r="D41" s="52"/>
      <c r="E41" s="52"/>
      <c r="F41" s="52"/>
      <c r="G41" s="52"/>
      <c r="R41" s="52"/>
      <c r="S41" s="52"/>
      <c r="T41" s="52"/>
      <c r="U41" s="52"/>
    </row>
    <row r="42" spans="1:23" x14ac:dyDescent="0.25">
      <c r="F42" s="52"/>
      <c r="G42" s="52"/>
    </row>
  </sheetData>
  <sheetProtection sheet="1" objects="1" scenarios="1"/>
  <mergeCells count="96">
    <mergeCell ref="M36:Q40"/>
    <mergeCell ref="O34:Q34"/>
    <mergeCell ref="A19:B19"/>
    <mergeCell ref="A20:B20"/>
    <mergeCell ref="G27:L27"/>
    <mergeCell ref="M27:N27"/>
    <mergeCell ref="O27:Q27"/>
    <mergeCell ref="A27:B27"/>
    <mergeCell ref="A24:B24"/>
    <mergeCell ref="A21:B21"/>
    <mergeCell ref="G22:L22"/>
    <mergeCell ref="G21:L21"/>
    <mergeCell ref="G20:L20"/>
    <mergeCell ref="A25:B25"/>
    <mergeCell ref="A26:B26"/>
    <mergeCell ref="A22:B22"/>
    <mergeCell ref="A4:E4"/>
    <mergeCell ref="E5:E6"/>
    <mergeCell ref="A13:C13"/>
    <mergeCell ref="A14:C14"/>
    <mergeCell ref="A15:C15"/>
    <mergeCell ref="A8:C8"/>
    <mergeCell ref="A9:C9"/>
    <mergeCell ref="A10:C10"/>
    <mergeCell ref="A11:C11"/>
    <mergeCell ref="A12:C12"/>
    <mergeCell ref="A23:B23"/>
    <mergeCell ref="G10:J10"/>
    <mergeCell ref="A18:B18"/>
    <mergeCell ref="L5:L6"/>
    <mergeCell ref="K5:K6"/>
    <mergeCell ref="G11:J11"/>
    <mergeCell ref="G12:J12"/>
    <mergeCell ref="G13:J13"/>
    <mergeCell ref="G14:J14"/>
    <mergeCell ref="G15:J15"/>
    <mergeCell ref="A5:C6"/>
    <mergeCell ref="G7:J7"/>
    <mergeCell ref="G8:J8"/>
    <mergeCell ref="G9:J9"/>
    <mergeCell ref="A17:E17"/>
    <mergeCell ref="A7:C7"/>
    <mergeCell ref="H1:J1"/>
    <mergeCell ref="H2:J2"/>
    <mergeCell ref="G19:K19"/>
    <mergeCell ref="G18:K18"/>
    <mergeCell ref="L18:M18"/>
    <mergeCell ref="L19:M19"/>
    <mergeCell ref="J36:J37"/>
    <mergeCell ref="D24:E24"/>
    <mergeCell ref="J35:K35"/>
    <mergeCell ref="K1:Q1"/>
    <mergeCell ref="K2:Q2"/>
    <mergeCell ref="O5:Q6"/>
    <mergeCell ref="O7:Q7"/>
    <mergeCell ref="O8:Q8"/>
    <mergeCell ref="O9:Q9"/>
    <mergeCell ref="O10:Q10"/>
    <mergeCell ref="O11:Q11"/>
    <mergeCell ref="O12:Q12"/>
    <mergeCell ref="O13:Q13"/>
    <mergeCell ref="O14:Q14"/>
    <mergeCell ref="O15:Q15"/>
    <mergeCell ref="N5:N6"/>
    <mergeCell ref="B1:E1"/>
    <mergeCell ref="B2:E2"/>
    <mergeCell ref="G26:L26"/>
    <mergeCell ref="G25:L25"/>
    <mergeCell ref="M22:N22"/>
    <mergeCell ref="M20:N20"/>
    <mergeCell ref="G24:L24"/>
    <mergeCell ref="G23:L23"/>
    <mergeCell ref="M26:N26"/>
    <mergeCell ref="M25:N25"/>
    <mergeCell ref="M24:N24"/>
    <mergeCell ref="M23:N23"/>
    <mergeCell ref="G4:Q4"/>
    <mergeCell ref="G5:J6"/>
    <mergeCell ref="G17:Q17"/>
    <mergeCell ref="O18:P18"/>
    <mergeCell ref="A30:F40"/>
    <mergeCell ref="A28:B28"/>
    <mergeCell ref="O21:Q21"/>
    <mergeCell ref="O20:Q20"/>
    <mergeCell ref="M21:N21"/>
    <mergeCell ref="O22:Q22"/>
    <mergeCell ref="O26:Q26"/>
    <mergeCell ref="O25:Q25"/>
    <mergeCell ref="O24:Q24"/>
    <mergeCell ref="O23:Q23"/>
    <mergeCell ref="O29:Q29"/>
    <mergeCell ref="O30:Q30"/>
    <mergeCell ref="O31:Q31"/>
    <mergeCell ref="O32:Q32"/>
    <mergeCell ref="O33:Q33"/>
    <mergeCell ref="K36:L36"/>
  </mergeCells>
  <dataValidations disablePrompts="1" xWindow="274" yWindow="299" count="2">
    <dataValidation type="list" showInputMessage="1" showErrorMessage="1" errorTitle="Category" error="Choose a beer category." promptTitle="Beer Category" prompt="Choose beer category." sqref="B1">
      <formula1>BeerList_Headers</formula1>
    </dataValidation>
    <dataValidation type="list" showInputMessage="1" showErrorMessage="1" errorTitle="Style" error="Choose beer style for selected category." promptTitle="Beer Style" prompt="Choose beer style for selected category." sqref="B2">
      <formula1>BeerList_list2</formula1>
    </dataValidation>
  </dataValidations>
  <hyperlinks>
    <hyperlink ref="K2" r:id="rId1"/>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disablePrompts="1" xWindow="274" yWindow="299" count="1">
        <x14:dataValidation type="list" showInputMessage="1" showErrorMessage="1">
          <x14:formula1>
            <xm:f>'Yeast List'!$A$2:$A$215</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topLeftCell="A7" workbookViewId="0">
      <selection activeCell="B28" sqref="B28"/>
    </sheetView>
  </sheetViews>
  <sheetFormatPr defaultRowHeight="13.2" x14ac:dyDescent="0.25"/>
  <cols>
    <col min="1" max="1" width="23.88671875" customWidth="1"/>
    <col min="2" max="2" width="7.21875" style="33" customWidth="1"/>
    <col min="3" max="3" width="5.5546875" style="33" bestFit="1" customWidth="1"/>
    <col min="4" max="4" width="14.44140625" customWidth="1"/>
    <col min="6" max="6" width="79.5546875" customWidth="1"/>
  </cols>
  <sheetData>
    <row r="1" spans="1:6" x14ac:dyDescent="0.25">
      <c r="B1" s="57"/>
      <c r="C1" s="57"/>
    </row>
    <row r="2" spans="1:6" x14ac:dyDescent="0.25">
      <c r="A2" s="63" t="s">
        <v>1488</v>
      </c>
      <c r="B2" s="205" t="s">
        <v>1487</v>
      </c>
      <c r="C2" s="207"/>
      <c r="D2" s="281" t="s">
        <v>151</v>
      </c>
      <c r="E2" s="248"/>
      <c r="F2" s="248"/>
    </row>
    <row r="3" spans="1:6" x14ac:dyDescent="0.25">
      <c r="A3" s="67" t="s">
        <v>145</v>
      </c>
      <c r="B3" s="66" t="s">
        <v>108</v>
      </c>
      <c r="C3"/>
      <c r="D3" s="282" t="s">
        <v>1547</v>
      </c>
      <c r="E3" s="282"/>
      <c r="F3" s="282"/>
    </row>
    <row r="4" spans="1:6" x14ac:dyDescent="0.25">
      <c r="A4" s="70" t="s">
        <v>1483</v>
      </c>
      <c r="B4" s="79" t="str">
        <f>IF($B$2="US Customary","°F", IF($B$2="Metric","°C",))</f>
        <v>°F</v>
      </c>
      <c r="C4" s="68"/>
    </row>
    <row r="5" spans="1:6" x14ac:dyDescent="0.25">
      <c r="A5" s="70" t="s">
        <v>1484</v>
      </c>
      <c r="B5" s="79" t="str">
        <f>IF($B$2="US Customary","qt", IF($B$2="Metric","Liters",))</f>
        <v>qt</v>
      </c>
      <c r="C5" s="68"/>
      <c r="D5" s="229" t="s">
        <v>1649</v>
      </c>
      <c r="E5" s="229"/>
    </row>
    <row r="6" spans="1:6" x14ac:dyDescent="0.25">
      <c r="A6" s="70" t="s">
        <v>1485</v>
      </c>
      <c r="B6" s="79" t="str">
        <f>IF($B$2="US Customary","lb", IF($B$2="Metric","kg",))</f>
        <v>lb</v>
      </c>
      <c r="C6" s="68"/>
      <c r="D6" s="157" t="s">
        <v>1650</v>
      </c>
      <c r="E6" s="27" t="str">
        <f>IF(B40&lt;=B24*B25,"PASS","FAIL")</f>
        <v>PASS</v>
      </c>
    </row>
    <row r="7" spans="1:6" x14ac:dyDescent="0.25">
      <c r="A7" s="70" t="s">
        <v>1486</v>
      </c>
      <c r="B7" s="79" t="str">
        <f>IF($B$2="US Customary","oz", IF($B$2="Metric","grams",))</f>
        <v>oz</v>
      </c>
      <c r="C7" s="68"/>
      <c r="D7" s="160" t="s">
        <v>1651</v>
      </c>
      <c r="E7" s="27" t="str">
        <f>IF(B35&lt;=(B27*B26),"PASS","FAIL")</f>
        <v>FAIL</v>
      </c>
    </row>
    <row r="8" spans="1:6" ht="13.8" thickBot="1" x14ac:dyDescent="0.3">
      <c r="A8" s="159"/>
      <c r="B8"/>
      <c r="C8" s="155"/>
    </row>
    <row r="9" spans="1:6" ht="13.8" thickTop="1" x14ac:dyDescent="0.25">
      <c r="A9" s="267" t="s">
        <v>1465</v>
      </c>
      <c r="B9" s="268"/>
      <c r="C9" s="268"/>
      <c r="D9" s="268"/>
      <c r="E9" s="268"/>
      <c r="F9" s="269"/>
    </row>
    <row r="10" spans="1:6" x14ac:dyDescent="0.25">
      <c r="A10" s="161" t="s">
        <v>1652</v>
      </c>
      <c r="B10" s="154" t="s">
        <v>108</v>
      </c>
      <c r="C10" s="154" t="s">
        <v>103</v>
      </c>
      <c r="D10" s="240" t="s">
        <v>70</v>
      </c>
      <c r="E10" s="240"/>
      <c r="F10" s="254"/>
    </row>
    <row r="11" spans="1:6" x14ac:dyDescent="0.25">
      <c r="A11" s="162" t="s">
        <v>1462</v>
      </c>
      <c r="B11" s="156">
        <v>21</v>
      </c>
      <c r="C11" s="153" t="str">
        <f>$B$5</f>
        <v>qt</v>
      </c>
      <c r="D11" s="252" t="s">
        <v>1658</v>
      </c>
      <c r="E11" s="252"/>
      <c r="F11" s="253"/>
    </row>
    <row r="12" spans="1:6" x14ac:dyDescent="0.25">
      <c r="A12" s="162" t="s">
        <v>107</v>
      </c>
      <c r="B12" s="47">
        <v>68</v>
      </c>
      <c r="C12" s="116" t="str">
        <f>'Brewhouse Setup &amp; Calcs'!$B$4</f>
        <v>°F</v>
      </c>
      <c r="D12" s="261" t="s">
        <v>1477</v>
      </c>
      <c r="E12" s="261"/>
      <c r="F12" s="262"/>
    </row>
    <row r="13" spans="1:6" x14ac:dyDescent="0.25">
      <c r="A13" s="162" t="s">
        <v>170</v>
      </c>
      <c r="B13" s="47">
        <v>151</v>
      </c>
      <c r="C13" s="116" t="str">
        <f>'Brewhouse Setup &amp; Calcs'!$B$4</f>
        <v>°F</v>
      </c>
      <c r="D13" s="261" t="s">
        <v>1478</v>
      </c>
      <c r="E13" s="261"/>
      <c r="F13" s="262"/>
    </row>
    <row r="14" spans="1:6" x14ac:dyDescent="0.25">
      <c r="A14" s="162" t="s">
        <v>104</v>
      </c>
      <c r="B14" s="156">
        <v>1.375</v>
      </c>
      <c r="C14" s="116" t="str">
        <f>IF($B$2="Metric","L/kg","qt/lb")</f>
        <v>qt/lb</v>
      </c>
      <c r="D14" s="261" t="s">
        <v>169</v>
      </c>
      <c r="E14" s="261"/>
      <c r="F14" s="262"/>
    </row>
    <row r="15" spans="1:6" x14ac:dyDescent="0.25">
      <c r="A15" s="162" t="s">
        <v>1643</v>
      </c>
      <c r="B15" s="156">
        <v>0.5</v>
      </c>
      <c r="C15" s="116" t="str">
        <f>IF($B$2="Metric","L/kg","qt/lb")</f>
        <v>qt/lb</v>
      </c>
      <c r="D15" s="261" t="s">
        <v>1659</v>
      </c>
      <c r="E15" s="261"/>
      <c r="F15" s="262"/>
    </row>
    <row r="16" spans="1:6" x14ac:dyDescent="0.25">
      <c r="A16" s="163" t="s">
        <v>99</v>
      </c>
      <c r="B16" s="39">
        <v>0.72</v>
      </c>
      <c r="C16" s="158" t="s">
        <v>109</v>
      </c>
      <c r="D16" s="261" t="s">
        <v>1474</v>
      </c>
      <c r="E16" s="261"/>
      <c r="F16" s="262"/>
    </row>
    <row r="17" spans="1:6" x14ac:dyDescent="0.25">
      <c r="A17" s="162" t="s">
        <v>116</v>
      </c>
      <c r="B17" s="40">
        <v>90</v>
      </c>
      <c r="C17" s="157" t="s">
        <v>1513</v>
      </c>
      <c r="D17" s="252" t="s">
        <v>117</v>
      </c>
      <c r="E17" s="252"/>
      <c r="F17" s="253"/>
    </row>
    <row r="18" spans="1:6" x14ac:dyDescent="0.25">
      <c r="A18" s="162" t="s">
        <v>113</v>
      </c>
      <c r="B18" s="42">
        <v>0.13</v>
      </c>
      <c r="C18" s="157" t="s">
        <v>114</v>
      </c>
      <c r="D18" s="252" t="s">
        <v>1466</v>
      </c>
      <c r="E18" s="252"/>
      <c r="F18" s="253"/>
    </row>
    <row r="19" spans="1:6" x14ac:dyDescent="0.25">
      <c r="A19" s="162" t="s">
        <v>1517</v>
      </c>
      <c r="B19" s="41">
        <v>210.6</v>
      </c>
      <c r="C19" s="116" t="str">
        <f>$B$4</f>
        <v>°F</v>
      </c>
      <c r="D19" s="252" t="s">
        <v>1475</v>
      </c>
      <c r="E19" s="252"/>
      <c r="F19" s="253"/>
    </row>
    <row r="20" spans="1:6" ht="13.8" thickBot="1" x14ac:dyDescent="0.3">
      <c r="A20" s="164" t="s">
        <v>1518</v>
      </c>
      <c r="B20" s="168">
        <v>62</v>
      </c>
      <c r="C20" s="169" t="str">
        <f>$B$4</f>
        <v>°F</v>
      </c>
      <c r="D20" s="272" t="s">
        <v>1476</v>
      </c>
      <c r="E20" s="272"/>
      <c r="F20" s="273"/>
    </row>
    <row r="21" spans="1:6" ht="14.4" thickTop="1" thickBot="1" x14ac:dyDescent="0.3">
      <c r="B21"/>
      <c r="C21" s="155"/>
    </row>
    <row r="22" spans="1:6" ht="13.8" thickTop="1" x14ac:dyDescent="0.25">
      <c r="A22" s="267" t="s">
        <v>1653</v>
      </c>
      <c r="B22" s="268"/>
      <c r="C22" s="268"/>
      <c r="D22" s="268"/>
      <c r="E22" s="268"/>
      <c r="F22" s="269"/>
    </row>
    <row r="23" spans="1:6" x14ac:dyDescent="0.25">
      <c r="A23" s="161" t="s">
        <v>1652</v>
      </c>
      <c r="B23" s="154" t="s">
        <v>108</v>
      </c>
      <c r="C23" s="154" t="s">
        <v>103</v>
      </c>
      <c r="D23" s="240" t="s">
        <v>70</v>
      </c>
      <c r="E23" s="240"/>
      <c r="F23" s="254"/>
    </row>
    <row r="24" spans="1:6" x14ac:dyDescent="0.25">
      <c r="A24" s="165" t="s">
        <v>112</v>
      </c>
      <c r="B24" s="37">
        <v>28</v>
      </c>
      <c r="C24" s="153" t="str">
        <f>$B$5</f>
        <v>qt</v>
      </c>
      <c r="D24" s="270" t="s">
        <v>1468</v>
      </c>
      <c r="E24" s="270"/>
      <c r="F24" s="271"/>
    </row>
    <row r="25" spans="1:6" x14ac:dyDescent="0.25">
      <c r="A25" s="165" t="s">
        <v>131</v>
      </c>
      <c r="B25" s="38">
        <v>0.95</v>
      </c>
      <c r="C25" s="158" t="s">
        <v>109</v>
      </c>
      <c r="D25" s="270" t="s">
        <v>1469</v>
      </c>
      <c r="E25" s="270"/>
      <c r="F25" s="271"/>
    </row>
    <row r="26" spans="1:6" x14ac:dyDescent="0.25">
      <c r="A26" s="162" t="s">
        <v>115</v>
      </c>
      <c r="B26" s="37">
        <v>32</v>
      </c>
      <c r="C26" s="153" t="str">
        <f>$B$5</f>
        <v>qt</v>
      </c>
      <c r="D26" s="270" t="s">
        <v>1470</v>
      </c>
      <c r="E26" s="270"/>
      <c r="F26" s="271"/>
    </row>
    <row r="27" spans="1:6" x14ac:dyDescent="0.25">
      <c r="A27" s="162" t="s">
        <v>1461</v>
      </c>
      <c r="B27" s="38">
        <v>0.9</v>
      </c>
      <c r="C27" s="158" t="s">
        <v>109</v>
      </c>
      <c r="D27" s="270" t="s">
        <v>1479</v>
      </c>
      <c r="E27" s="270"/>
      <c r="F27" s="271"/>
    </row>
    <row r="28" spans="1:6" x14ac:dyDescent="0.25">
      <c r="A28" s="166" t="s">
        <v>118</v>
      </c>
      <c r="B28" s="156">
        <v>1.5</v>
      </c>
      <c r="C28" s="153" t="str">
        <f t="shared" ref="C28:C30" si="0">$B$5</f>
        <v>qt</v>
      </c>
      <c r="D28" s="270" t="s">
        <v>1473</v>
      </c>
      <c r="E28" s="270"/>
      <c r="F28" s="271"/>
    </row>
    <row r="29" spans="1:6" x14ac:dyDescent="0.25">
      <c r="A29" s="166" t="s">
        <v>1463</v>
      </c>
      <c r="B29" s="156">
        <v>1.75</v>
      </c>
      <c r="C29" s="153" t="str">
        <f t="shared" si="0"/>
        <v>qt</v>
      </c>
      <c r="D29" s="270" t="s">
        <v>1472</v>
      </c>
      <c r="E29" s="270"/>
      <c r="F29" s="271"/>
    </row>
    <row r="30" spans="1:6" x14ac:dyDescent="0.25">
      <c r="A30" s="166" t="s">
        <v>1464</v>
      </c>
      <c r="B30" s="181">
        <v>1</v>
      </c>
      <c r="C30" s="182" t="str">
        <f t="shared" si="0"/>
        <v>qt</v>
      </c>
      <c r="D30" s="274" t="s">
        <v>1471</v>
      </c>
      <c r="E30" s="274"/>
      <c r="F30" s="275"/>
    </row>
    <row r="31" spans="1:6" ht="13.8" thickBot="1" x14ac:dyDescent="0.3">
      <c r="A31" s="183" t="s">
        <v>1672</v>
      </c>
      <c r="B31" s="184">
        <v>1.04</v>
      </c>
      <c r="C31" s="185"/>
      <c r="D31" s="279" t="s">
        <v>1673</v>
      </c>
      <c r="E31" s="279"/>
      <c r="F31" s="280"/>
    </row>
    <row r="32" spans="1:6" ht="14.4" thickTop="1" thickBot="1" x14ac:dyDescent="0.3"/>
    <row r="33" spans="1:6" ht="13.8" thickTop="1" x14ac:dyDescent="0.25">
      <c r="A33" s="276" t="s">
        <v>1654</v>
      </c>
      <c r="B33" s="277"/>
      <c r="C33" s="277"/>
      <c r="D33" s="277"/>
      <c r="E33" s="277"/>
      <c r="F33" s="278"/>
    </row>
    <row r="34" spans="1:6" x14ac:dyDescent="0.25">
      <c r="A34" s="161" t="s">
        <v>1655</v>
      </c>
      <c r="B34" s="154" t="s">
        <v>108</v>
      </c>
      <c r="C34" s="154" t="s">
        <v>103</v>
      </c>
      <c r="D34" s="240" t="s">
        <v>70</v>
      </c>
      <c r="E34" s="240"/>
      <c r="F34" s="254"/>
    </row>
    <row r="35" spans="1:6" x14ac:dyDescent="0.25">
      <c r="A35" s="162" t="s">
        <v>110</v>
      </c>
      <c r="B35" s="80">
        <f>B53+B51+B52</f>
        <v>29.331250000000001</v>
      </c>
      <c r="C35" s="153" t="str">
        <f t="shared" ref="C35:C53" si="1">$B$5</f>
        <v>qt</v>
      </c>
      <c r="D35" s="252" t="s">
        <v>119</v>
      </c>
      <c r="E35" s="252"/>
      <c r="F35" s="253"/>
    </row>
    <row r="36" spans="1:6" x14ac:dyDescent="0.25">
      <c r="A36" s="162" t="s">
        <v>133</v>
      </c>
      <c r="B36" s="80">
        <f>IF(C36="qt",0.3125*'Grain &amp; Sugar Calcs'!C14,IF(C36="Liters",0.652*'Grain &amp; Sugar Calcs'!C14,""))</f>
        <v>0</v>
      </c>
      <c r="C36" s="116" t="str">
        <f>'Brewhouse Setup &amp; Calcs'!$B$5</f>
        <v>qt</v>
      </c>
      <c r="D36" s="1" t="s">
        <v>1482</v>
      </c>
      <c r="E36" s="1"/>
      <c r="F36" s="171"/>
    </row>
    <row r="37" spans="1:6" x14ac:dyDescent="0.25">
      <c r="A37" s="162" t="s">
        <v>105</v>
      </c>
      <c r="B37" s="80">
        <f>'Grain &amp; Sugar Calcs'!C14*B14</f>
        <v>0</v>
      </c>
      <c r="C37" s="116" t="str">
        <f>'Brewhouse Setup &amp; Calcs'!$B$5</f>
        <v>qt</v>
      </c>
      <c r="D37" s="263" t="s">
        <v>1481</v>
      </c>
      <c r="E37" s="263"/>
      <c r="F37" s="264"/>
    </row>
    <row r="38" spans="1:6" x14ac:dyDescent="0.25">
      <c r="A38" s="162" t="s">
        <v>106</v>
      </c>
      <c r="B38" s="80">
        <f>(IF(B2="US Customary",0.2,0.41)/B14)*(B13-B12)+B13</f>
        <v>163.07272727272726</v>
      </c>
      <c r="C38" s="116" t="str">
        <f>'Brewhouse Setup &amp; Calcs'!$B$4</f>
        <v>°F</v>
      </c>
      <c r="D38" s="263" t="s">
        <v>1480</v>
      </c>
      <c r="E38" s="263"/>
      <c r="F38" s="264"/>
    </row>
    <row r="39" spans="1:6" x14ac:dyDescent="0.25">
      <c r="A39" s="162" t="s">
        <v>1645</v>
      </c>
      <c r="B39" s="167">
        <f>B15*'Grain &amp; Sugar Calcs'!C14</f>
        <v>0</v>
      </c>
      <c r="C39" s="116" t="str">
        <f>'Brewhouse Setup &amp; Calcs'!$B$5</f>
        <v>qt</v>
      </c>
      <c r="D39" s="261" t="s">
        <v>1644</v>
      </c>
      <c r="E39" s="261"/>
      <c r="F39" s="262"/>
    </row>
    <row r="40" spans="1:6" x14ac:dyDescent="0.25">
      <c r="A40" s="162" t="s">
        <v>128</v>
      </c>
      <c r="B40" s="80">
        <f>(B36+B37)</f>
        <v>0</v>
      </c>
      <c r="C40" s="116" t="str">
        <f>'Brewhouse Setup &amp; Calcs'!$B$5</f>
        <v>qt</v>
      </c>
      <c r="D40" s="261" t="s">
        <v>1646</v>
      </c>
      <c r="E40" s="261"/>
      <c r="F40" s="262"/>
    </row>
    <row r="41" spans="1:6" x14ac:dyDescent="0.25">
      <c r="A41" s="172" t="s">
        <v>129</v>
      </c>
      <c r="B41" s="178">
        <f>B24*B25-B36-B39</f>
        <v>26.599999999999998</v>
      </c>
      <c r="C41" s="170" t="str">
        <f>'Brewhouse Setup &amp; Calcs'!$B$5</f>
        <v>qt</v>
      </c>
      <c r="D41" s="261" t="s">
        <v>1647</v>
      </c>
      <c r="E41" s="261"/>
      <c r="F41" s="262"/>
    </row>
    <row r="42" spans="1:6" x14ac:dyDescent="0.25">
      <c r="A42" s="173" t="s">
        <v>130</v>
      </c>
      <c r="B42" s="80">
        <f>B35/B41</f>
        <v>1.1026785714285716</v>
      </c>
      <c r="C42" s="158"/>
      <c r="D42" s="261" t="s">
        <v>1515</v>
      </c>
      <c r="E42" s="261"/>
      <c r="F42" s="262"/>
    </row>
    <row r="43" spans="1:6" x14ac:dyDescent="0.25">
      <c r="A43" s="173" t="s">
        <v>132</v>
      </c>
      <c r="B43" s="153">
        <f>ROUNDUP(B42,0)</f>
        <v>2</v>
      </c>
      <c r="C43" s="158"/>
      <c r="D43" s="261" t="s">
        <v>1516</v>
      </c>
      <c r="E43" s="261"/>
      <c r="F43" s="262"/>
    </row>
    <row r="44" spans="1:6" ht="13.2" customHeight="1" x14ac:dyDescent="0.25">
      <c r="A44" s="166" t="s">
        <v>1648</v>
      </c>
      <c r="B44" s="80">
        <f>B35/B43</f>
        <v>14.665625</v>
      </c>
      <c r="C44" s="116" t="str">
        <f>'Brewhouse Setup &amp; Calcs'!$B$5</f>
        <v>qt</v>
      </c>
      <c r="D44" s="258" t="s">
        <v>1663</v>
      </c>
      <c r="E44" s="259"/>
      <c r="F44" s="260"/>
    </row>
    <row r="45" spans="1:6" x14ac:dyDescent="0.25">
      <c r="A45" s="166" t="s">
        <v>1514</v>
      </c>
      <c r="B45" s="80">
        <f>B37-B39-B28</f>
        <v>-1.5</v>
      </c>
      <c r="C45" s="116" t="str">
        <f>'Brewhouse Setup &amp; Calcs'!$B$5</f>
        <v>qt</v>
      </c>
      <c r="D45" s="258" t="s">
        <v>1664</v>
      </c>
      <c r="E45" s="259"/>
      <c r="F45" s="260"/>
    </row>
    <row r="46" spans="1:6" x14ac:dyDescent="0.25">
      <c r="A46" s="166" t="s">
        <v>1660</v>
      </c>
      <c r="B46" s="80">
        <f>IF(B44&gt;=B45,B44-B45,0)</f>
        <v>16.165624999999999</v>
      </c>
      <c r="C46" s="116" t="str">
        <f>'Brewhouse Setup &amp; Calcs'!$B$5</f>
        <v>qt</v>
      </c>
      <c r="D46" s="258" t="s">
        <v>1665</v>
      </c>
      <c r="E46" s="259"/>
      <c r="F46" s="260"/>
    </row>
    <row r="47" spans="1:6" x14ac:dyDescent="0.25">
      <c r="A47" s="166" t="s">
        <v>1657</v>
      </c>
      <c r="B47" s="167">
        <f>IF(B44&gt;B45,B44,B45)</f>
        <v>14.665625</v>
      </c>
      <c r="C47" s="116" t="str">
        <f>'Brewhouse Setup &amp; Calcs'!$B$5</f>
        <v>qt</v>
      </c>
      <c r="D47" s="258" t="s">
        <v>1666</v>
      </c>
      <c r="E47" s="259"/>
      <c r="F47" s="260"/>
    </row>
    <row r="48" spans="1:6" x14ac:dyDescent="0.25">
      <c r="A48" s="166" t="s">
        <v>1661</v>
      </c>
      <c r="B48" s="80">
        <f>IF(B43&gt;1,B44,0)</f>
        <v>14.665625</v>
      </c>
      <c r="C48" s="116" t="str">
        <f>'Brewhouse Setup &amp; Calcs'!$B$5</f>
        <v>qt</v>
      </c>
      <c r="D48" s="258" t="s">
        <v>1667</v>
      </c>
      <c r="E48" s="259"/>
      <c r="F48" s="260"/>
    </row>
    <row r="49" spans="1:6" x14ac:dyDescent="0.25">
      <c r="A49" s="166" t="s">
        <v>1662</v>
      </c>
      <c r="B49" s="80">
        <f>IF(B43&gt;2,B35-B47-B48,0)</f>
        <v>0</v>
      </c>
      <c r="C49" s="116" t="str">
        <f>'Brewhouse Setup &amp; Calcs'!$B$5</f>
        <v>qt</v>
      </c>
      <c r="D49" s="255" t="s">
        <v>1668</v>
      </c>
      <c r="E49" s="256"/>
      <c r="F49" s="257"/>
    </row>
    <row r="50" spans="1:6" x14ac:dyDescent="0.25">
      <c r="A50" s="174" t="s">
        <v>1656</v>
      </c>
      <c r="B50" s="154" t="s">
        <v>108</v>
      </c>
      <c r="C50" s="154" t="s">
        <v>103</v>
      </c>
      <c r="D50" s="240" t="s">
        <v>70</v>
      </c>
      <c r="E50" s="240"/>
      <c r="F50" s="254"/>
    </row>
    <row r="51" spans="1:6" x14ac:dyDescent="0.25">
      <c r="A51" s="162" t="s">
        <v>121</v>
      </c>
      <c r="B51" s="179">
        <f>B53*B17/60*B18</f>
        <v>4.6312500000000005</v>
      </c>
      <c r="C51" s="153" t="str">
        <f t="shared" ref="C51:C52" si="2">$B$5</f>
        <v>qt</v>
      </c>
      <c r="D51" s="252" t="s">
        <v>1669</v>
      </c>
      <c r="E51" s="252"/>
      <c r="F51" s="253"/>
    </row>
    <row r="52" spans="1:6" x14ac:dyDescent="0.25">
      <c r="A52" s="162" t="s">
        <v>122</v>
      </c>
      <c r="B52" s="80">
        <f>B53*0.04</f>
        <v>0.95000000000000007</v>
      </c>
      <c r="C52" s="153" t="str">
        <f t="shared" si="2"/>
        <v>qt</v>
      </c>
      <c r="D52" s="252" t="s">
        <v>120</v>
      </c>
      <c r="E52" s="252"/>
      <c r="F52" s="253"/>
    </row>
    <row r="53" spans="1:6" ht="13.8" thickBot="1" x14ac:dyDescent="0.3">
      <c r="A53" s="175" t="s">
        <v>111</v>
      </c>
      <c r="B53" s="180">
        <f>B11+B29+B30</f>
        <v>23.75</v>
      </c>
      <c r="C53" s="176" t="str">
        <f t="shared" si="1"/>
        <v>qt</v>
      </c>
      <c r="D53" s="265" t="s">
        <v>1467</v>
      </c>
      <c r="E53" s="265"/>
      <c r="F53" s="266"/>
    </row>
    <row r="54" spans="1:6" ht="13.8" thickTop="1" x14ac:dyDescent="0.25">
      <c r="B54" s="155"/>
      <c r="C54" s="155"/>
    </row>
    <row r="55" spans="1:6" x14ac:dyDescent="0.25">
      <c r="B55" s="155"/>
      <c r="C55" s="155"/>
    </row>
    <row r="56" spans="1:6" x14ac:dyDescent="0.25">
      <c r="B56" s="155"/>
      <c r="C56" s="155"/>
    </row>
    <row r="57" spans="1:6" x14ac:dyDescent="0.25">
      <c r="B57" s="155"/>
      <c r="C57" s="155"/>
    </row>
    <row r="58" spans="1:6" x14ac:dyDescent="0.25">
      <c r="B58"/>
      <c r="C58"/>
    </row>
    <row r="59" spans="1:6" x14ac:dyDescent="0.25">
      <c r="B59"/>
      <c r="C59"/>
    </row>
    <row r="60" spans="1:6" x14ac:dyDescent="0.25">
      <c r="B60"/>
      <c r="C60"/>
    </row>
    <row r="61" spans="1:6" x14ac:dyDescent="0.25">
      <c r="B61"/>
      <c r="C61"/>
    </row>
    <row r="62" spans="1:6" x14ac:dyDescent="0.25">
      <c r="B62"/>
      <c r="C62"/>
    </row>
    <row r="63" spans="1:6" x14ac:dyDescent="0.25">
      <c r="B63"/>
      <c r="C63"/>
    </row>
    <row r="64" spans="1:6" x14ac:dyDescent="0.25">
      <c r="B64"/>
      <c r="C64"/>
    </row>
  </sheetData>
  <sheetProtection sheet="1" objects="1" scenarios="1"/>
  <dataConsolidate/>
  <mergeCells count="46">
    <mergeCell ref="D5:E5"/>
    <mergeCell ref="D2:F2"/>
    <mergeCell ref="D3:F3"/>
    <mergeCell ref="D10:F10"/>
    <mergeCell ref="D11:F11"/>
    <mergeCell ref="D18:F18"/>
    <mergeCell ref="D19:F19"/>
    <mergeCell ref="A9:F9"/>
    <mergeCell ref="D37:F37"/>
    <mergeCell ref="D34:F34"/>
    <mergeCell ref="D12:F12"/>
    <mergeCell ref="D13:F13"/>
    <mergeCell ref="D14:F14"/>
    <mergeCell ref="D15:F15"/>
    <mergeCell ref="D16:F16"/>
    <mergeCell ref="D31:F31"/>
    <mergeCell ref="B2:C2"/>
    <mergeCell ref="D53:F53"/>
    <mergeCell ref="A22:F22"/>
    <mergeCell ref="D23:F23"/>
    <mergeCell ref="D24:F24"/>
    <mergeCell ref="D20:F20"/>
    <mergeCell ref="D25:F25"/>
    <mergeCell ref="D26:F26"/>
    <mergeCell ref="D27:F27"/>
    <mergeCell ref="D28:F28"/>
    <mergeCell ref="D29:F29"/>
    <mergeCell ref="D30:F30"/>
    <mergeCell ref="A33:F33"/>
    <mergeCell ref="D39:F39"/>
    <mergeCell ref="D40:F40"/>
    <mergeCell ref="D17:F17"/>
    <mergeCell ref="D41:F41"/>
    <mergeCell ref="D35:F35"/>
    <mergeCell ref="D42:F42"/>
    <mergeCell ref="D43:F43"/>
    <mergeCell ref="D51:F51"/>
    <mergeCell ref="D46:F46"/>
    <mergeCell ref="D45:F45"/>
    <mergeCell ref="D44:F44"/>
    <mergeCell ref="D38:F38"/>
    <mergeCell ref="D52:F52"/>
    <mergeCell ref="D50:F50"/>
    <mergeCell ref="D49:F49"/>
    <mergeCell ref="D48:F48"/>
    <mergeCell ref="D47:F47"/>
  </mergeCells>
  <conditionalFormatting sqref="E7">
    <cfRule type="cellIs" dxfId="10" priority="5" operator="equal">
      <formula>"PASS"</formula>
    </cfRule>
    <cfRule type="cellIs" dxfId="9" priority="6" operator="equal">
      <formula>"FAIL"</formula>
    </cfRule>
  </conditionalFormatting>
  <conditionalFormatting sqref="E6">
    <cfRule type="cellIs" dxfId="8" priority="3" operator="equal">
      <formula>"PASS"</formula>
    </cfRule>
    <cfRule type="cellIs" dxfId="7" priority="4" operator="equal">
      <formula>"FAIL"</formula>
    </cfRule>
  </conditionalFormatting>
  <dataValidations count="5">
    <dataValidation type="decimal" operator="lessThan" showInputMessage="1" showErrorMessage="1" sqref="B25 B12 B14:B16">
      <formula1>100</formula1>
    </dataValidation>
    <dataValidation showInputMessage="1" showErrorMessage="1" sqref="B24"/>
    <dataValidation type="list" showInputMessage="1" showErrorMessage="1" errorTitle="System of Measure" error="Select from the list" promptTitle="System Units" prompt="Select units system for this spreadsheet." sqref="B2:C2">
      <formula1>"US Customary,Metric"</formula1>
    </dataValidation>
    <dataValidation type="list" allowBlank="1" showInputMessage="1" showErrorMessage="1" promptTitle="Units" prompt="Select Units" sqref="C12:C13">
      <formula1>"°F,°C"</formula1>
    </dataValidation>
    <dataValidation type="list" showInputMessage="1" showErrorMessage="1" errorTitle="Units" error="Select a unit of measure" promptTitle="Units" prompt="Select unit of measure" sqref="C14:C16">
      <formula1>"qt/lb,L/kg"</formula1>
    </dataValidation>
  </dataValidations>
  <hyperlinks>
    <hyperlink ref="D3" r:id="rId1"/>
  </hyperlinks>
  <pageMargins left="0.7" right="0.7" top="0.75" bottom="0.75" header="0.3" footer="0.3"/>
  <pageSetup scale="6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topLeftCell="B1" workbookViewId="0">
      <selection activeCell="C10" sqref="C10"/>
    </sheetView>
  </sheetViews>
  <sheetFormatPr defaultRowHeight="13.2" x14ac:dyDescent="0.25"/>
  <cols>
    <col min="1" max="1" width="5.77734375" customWidth="1"/>
    <col min="2" max="2" width="31.4414062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s>
  <sheetData>
    <row r="1" spans="2:11" x14ac:dyDescent="0.25">
      <c r="B1" s="31"/>
      <c r="C1" s="31"/>
      <c r="D1" s="31"/>
      <c r="F1" s="32"/>
      <c r="G1" s="32"/>
      <c r="H1" s="31"/>
      <c r="I1" s="31"/>
      <c r="J1" s="31"/>
      <c r="K1" s="31"/>
    </row>
    <row r="2" spans="2:11" x14ac:dyDescent="0.25">
      <c r="B2" s="229" t="s">
        <v>152</v>
      </c>
      <c r="C2" s="229"/>
      <c r="D2" s="229"/>
      <c r="E2" s="229"/>
      <c r="F2" s="229"/>
      <c r="G2" s="229"/>
      <c r="H2" s="229"/>
      <c r="I2" s="229"/>
      <c r="J2" s="229"/>
      <c r="K2" s="229"/>
    </row>
    <row r="3" spans="2:11" s="28" customFormat="1" ht="26.4" customHeight="1" x14ac:dyDescent="0.25">
      <c r="B3" s="226" t="s">
        <v>1059</v>
      </c>
      <c r="C3" s="71" t="s">
        <v>167</v>
      </c>
      <c r="D3" s="283" t="s">
        <v>98</v>
      </c>
      <c r="E3" s="226" t="s">
        <v>69</v>
      </c>
      <c r="F3" s="226" t="s">
        <v>1064</v>
      </c>
      <c r="G3" s="71" t="s">
        <v>1533</v>
      </c>
      <c r="H3" s="226" t="s">
        <v>1505</v>
      </c>
      <c r="I3" s="226" t="s">
        <v>100</v>
      </c>
      <c r="J3" s="226" t="s">
        <v>1531</v>
      </c>
      <c r="K3" s="226" t="s">
        <v>1532</v>
      </c>
    </row>
    <row r="4" spans="2:11" s="28" customFormat="1" x14ac:dyDescent="0.25">
      <c r="B4" s="223"/>
      <c r="C4" s="73" t="str">
        <f>'Brewhouse Setup &amp; Calcs'!$B$6</f>
        <v>lb</v>
      </c>
      <c r="D4" s="284"/>
      <c r="E4" s="223"/>
      <c r="F4" s="223"/>
      <c r="G4" s="72" t="s">
        <v>1495</v>
      </c>
      <c r="H4" s="223"/>
      <c r="I4" s="223"/>
      <c r="J4" s="223"/>
      <c r="K4" s="223"/>
    </row>
    <row r="5" spans="2:11" x14ac:dyDescent="0.25">
      <c r="B5" s="50"/>
      <c r="C5" s="44"/>
      <c r="D5" s="111" t="str">
        <f t="shared" ref="D5:D13" si="0">IF(ISBLANK(C5),"",C5/$C$16)</f>
        <v/>
      </c>
      <c r="E5" s="112" t="str">
        <f>IF(ISBLANK(B5),"",VLOOKUP(B5,grains_table[#All],2))</f>
        <v/>
      </c>
      <c r="F5" s="109" t="str">
        <f>IF(ISBLANK(B5),"",VLOOKUP(B5,grains_table[#All],3))</f>
        <v/>
      </c>
      <c r="G5" s="113" t="str">
        <f t="shared" ref="G5:G13" si="1">IF(ISBLANK(B5),"",(F5-1)*1000)</f>
        <v/>
      </c>
      <c r="H5" s="114" t="str">
        <f>IF(ISBLANK(B5),"",IF('Brewhouse Setup &amp; Calcs'!$B$2="Metric",2.20462262185*G5*C5,G5*C5))</f>
        <v/>
      </c>
      <c r="I5" s="115" t="str">
        <f>IF(ISBLANK(B5),"",IF(E5="Grain",'Brewhouse Setup &amp; Calcs'!$B$16,IF(E5="Sugar",1,)))</f>
        <v/>
      </c>
      <c r="J5" s="114" t="str">
        <f>IF(ISBLANK(B5),"",IF('Brewhouse Setup &amp; Calcs'!$B$2="Metric",H5*I5/(0.264172*'Brewhouse Setup &amp; Calcs'!$B$35),H5*I5/'Brewhouse Setup &amp; Calcs'!$B$35*4))</f>
        <v/>
      </c>
      <c r="K5" s="114" t="str">
        <f>IF(ISBLANK(B5),"",IF('Brewhouse Setup &amp; Calcs'!$B$2="Metric",H5*I5/(0.264172*'Brewhouse Setup &amp; Calcs'!$B$53),H5*I5/'Brewhouse Setup &amp; Calcs'!$B$53*4))</f>
        <v/>
      </c>
    </row>
    <row r="6" spans="2:11" x14ac:dyDescent="0.25">
      <c r="B6" s="50"/>
      <c r="C6" s="44"/>
      <c r="D6" s="111" t="str">
        <f t="shared" si="0"/>
        <v/>
      </c>
      <c r="E6" s="112" t="str">
        <f>IF(ISBLANK(B6),"",VLOOKUP(B6,grains_table[#All],2))</f>
        <v/>
      </c>
      <c r="F6" s="109" t="str">
        <f>IF(ISBLANK(B6),"",VLOOKUP(B6,grains_table[#All],3))</f>
        <v/>
      </c>
      <c r="G6" s="113" t="str">
        <f t="shared" si="1"/>
        <v/>
      </c>
      <c r="H6" s="114" t="str">
        <f>IF(ISBLANK(B6),"",IF('Brewhouse Setup &amp; Calcs'!$B$2="Metric",2.20462262185*G6*C6,G6*C6))</f>
        <v/>
      </c>
      <c r="I6" s="115" t="str">
        <f>IF(ISBLANK(B6),"",IF(E6="Grain",'Brewhouse Setup &amp; Calcs'!$B$16,IF(E6="Sugar",1,)))</f>
        <v/>
      </c>
      <c r="J6" s="114" t="str">
        <f>IF(ISBLANK(B6),"",IF('Brewhouse Setup &amp; Calcs'!$B$2="Metric",H6*I6/(0.264172*'Brewhouse Setup &amp; Calcs'!$B$35),H6*I6/'Brewhouse Setup &amp; Calcs'!$B$35*4))</f>
        <v/>
      </c>
      <c r="K6" s="114" t="str">
        <f>IF(ISBLANK(B6),"",IF('Brewhouse Setup &amp; Calcs'!$B$2="Metric",H6*I6/(0.264172*'Brewhouse Setup &amp; Calcs'!$B$53),H6*I6/'Brewhouse Setup &amp; Calcs'!$B$53*4))</f>
        <v/>
      </c>
    </row>
    <row r="7" spans="2:11" x14ac:dyDescent="0.25">
      <c r="B7" s="50"/>
      <c r="C7" s="44"/>
      <c r="D7" s="111" t="str">
        <f t="shared" si="0"/>
        <v/>
      </c>
      <c r="E7" s="112" t="str">
        <f>IF(ISBLANK(B7),"",VLOOKUP(B7,grains_table[#All],2))</f>
        <v/>
      </c>
      <c r="F7" s="109" t="str">
        <f>IF(ISBLANK(B7),"",VLOOKUP(B7,grains_table[#All],3))</f>
        <v/>
      </c>
      <c r="G7" s="113" t="str">
        <f t="shared" si="1"/>
        <v/>
      </c>
      <c r="H7" s="114" t="str">
        <f>IF(ISBLANK(B7),"",IF('Brewhouse Setup &amp; Calcs'!$B$2="Metric",2.20462262185*G7*C7,G7*C7))</f>
        <v/>
      </c>
      <c r="I7" s="115" t="str">
        <f>IF(ISBLANK(B7),"",IF(E7="Grain",'Brewhouse Setup &amp; Calcs'!$B$16,IF(E7="Sugar",1,)))</f>
        <v/>
      </c>
      <c r="J7" s="114" t="str">
        <f>IF(ISBLANK(B7),"",IF('Brewhouse Setup &amp; Calcs'!$B$2="Metric",H7*I7/(0.264172*'Brewhouse Setup &amp; Calcs'!$B$35),H7*I7/'Brewhouse Setup &amp; Calcs'!$B$35*4))</f>
        <v/>
      </c>
      <c r="K7" s="114" t="str">
        <f>IF(ISBLANK(B7),"",IF('Brewhouse Setup &amp; Calcs'!$B$2="Metric",H7*I7/(0.264172*'Brewhouse Setup &amp; Calcs'!$B$53),H7*I7/'Brewhouse Setup &amp; Calcs'!$B$53*4))</f>
        <v/>
      </c>
    </row>
    <row r="8" spans="2:11" x14ac:dyDescent="0.25">
      <c r="B8" s="50"/>
      <c r="C8" s="44"/>
      <c r="D8" s="111" t="str">
        <f t="shared" si="0"/>
        <v/>
      </c>
      <c r="E8" s="112" t="str">
        <f>IF(ISBLANK(B8),"",VLOOKUP(B8,grains_table[#All],2))</f>
        <v/>
      </c>
      <c r="F8" s="109" t="str">
        <f>IF(ISBLANK(B8),"",VLOOKUP(B8,grains_table[#All],3))</f>
        <v/>
      </c>
      <c r="G8" s="113" t="str">
        <f t="shared" si="1"/>
        <v/>
      </c>
      <c r="H8" s="114" t="str">
        <f>IF(ISBLANK(B8),"",IF('Brewhouse Setup &amp; Calcs'!$B$2="Metric",2.20462262185*G8*C8,G8*C8))</f>
        <v/>
      </c>
      <c r="I8" s="115" t="str">
        <f>IF(ISBLANK(B8),"",IF(E8="Grain",'Brewhouse Setup &amp; Calcs'!$B$16,IF(E8="Sugar",1,)))</f>
        <v/>
      </c>
      <c r="J8" s="114" t="str">
        <f>IF(ISBLANK(B8),"",IF('Brewhouse Setup &amp; Calcs'!$B$2="Metric",H8*I8/(0.264172*'Brewhouse Setup &amp; Calcs'!$B$35),H8*I8/'Brewhouse Setup &amp; Calcs'!$B$35*4))</f>
        <v/>
      </c>
      <c r="K8" s="114" t="str">
        <f>IF(ISBLANK(B8),"",IF('Brewhouse Setup &amp; Calcs'!$B$2="Metric",H8*I8/(0.264172*'Brewhouse Setup &amp; Calcs'!$B$53),H8*I8/'Brewhouse Setup &amp; Calcs'!$B$53*4))</f>
        <v/>
      </c>
    </row>
    <row r="9" spans="2:11" x14ac:dyDescent="0.25">
      <c r="B9" s="50"/>
      <c r="C9" s="44"/>
      <c r="D9" s="111" t="str">
        <f t="shared" si="0"/>
        <v/>
      </c>
      <c r="E9" s="112" t="str">
        <f>IF(ISBLANK(B9),"",VLOOKUP(B9,grains_table[#All],2))</f>
        <v/>
      </c>
      <c r="F9" s="109" t="str">
        <f>IF(ISBLANK(B9),"",VLOOKUP(B9,grains_table[#All],3))</f>
        <v/>
      </c>
      <c r="G9" s="113" t="str">
        <f t="shared" si="1"/>
        <v/>
      </c>
      <c r="H9" s="114" t="str">
        <f>IF(ISBLANK(B9),"",IF('Brewhouse Setup &amp; Calcs'!$B$2="Metric",2.20462262185*G9*C9,G9*C9))</f>
        <v/>
      </c>
      <c r="I9" s="115" t="str">
        <f>IF(ISBLANK(B9),"",IF(E9="Grain",'Brewhouse Setup &amp; Calcs'!$B$16,IF(E9="Sugar",1,)))</f>
        <v/>
      </c>
      <c r="J9" s="114" t="str">
        <f>IF(ISBLANK(B9),"",IF('Brewhouse Setup &amp; Calcs'!$B$2="Metric",H9*I9/(0.264172*'Brewhouse Setup &amp; Calcs'!$B$35),H9*I9/'Brewhouse Setup &amp; Calcs'!$B$35*4))</f>
        <v/>
      </c>
      <c r="K9" s="114" t="str">
        <f>IF(ISBLANK(B9),"",IF('Brewhouse Setup &amp; Calcs'!$B$2="Metric",H9*I9/(0.264172*'Brewhouse Setup &amp; Calcs'!$B$53),H9*I9/'Brewhouse Setup &amp; Calcs'!$B$53*4))</f>
        <v/>
      </c>
    </row>
    <row r="10" spans="2:11" x14ac:dyDescent="0.25">
      <c r="B10" s="50"/>
      <c r="C10" s="44"/>
      <c r="D10" s="111" t="str">
        <f t="shared" si="0"/>
        <v/>
      </c>
      <c r="E10" s="112" t="str">
        <f>IF(ISBLANK(B10),"",VLOOKUP(B10,grains_table[#All],2))</f>
        <v/>
      </c>
      <c r="F10" s="109" t="str">
        <f>IF(ISBLANK(B10),"",VLOOKUP(B10,grains_table[#All],3))</f>
        <v/>
      </c>
      <c r="G10" s="113" t="str">
        <f t="shared" si="1"/>
        <v/>
      </c>
      <c r="H10" s="114" t="str">
        <f>IF(ISBLANK(B10),"",IF('Brewhouse Setup &amp; Calcs'!$B$2="Metric",2.20462262185*G10*C10,G10*C10))</f>
        <v/>
      </c>
      <c r="I10" s="115" t="str">
        <f>IF(ISBLANK(B10),"",IF(E10="Grain",'Brewhouse Setup &amp; Calcs'!$B$16,IF(E10="Sugar",1,)))</f>
        <v/>
      </c>
      <c r="J10" s="114" t="str">
        <f>IF(ISBLANK(B10),"",IF('Brewhouse Setup &amp; Calcs'!$B$2="Metric",H10*I10/(0.264172*'Brewhouse Setup &amp; Calcs'!$B$35),H10*I10/'Brewhouse Setup &amp; Calcs'!$B$35*4))</f>
        <v/>
      </c>
      <c r="K10" s="114" t="str">
        <f>IF(ISBLANK(B10),"",IF('Brewhouse Setup &amp; Calcs'!$B$2="Metric",H10*I10/(0.264172*'Brewhouse Setup &amp; Calcs'!$B$53),H10*I10/'Brewhouse Setup &amp; Calcs'!$B$53*4))</f>
        <v/>
      </c>
    </row>
    <row r="11" spans="2:11" x14ac:dyDescent="0.25">
      <c r="B11" s="50"/>
      <c r="C11" s="44"/>
      <c r="D11" s="111" t="str">
        <f t="shared" si="0"/>
        <v/>
      </c>
      <c r="E11" s="112" t="str">
        <f>IF(ISBLANK(B11),"",VLOOKUP(B11,grains_table[#All],2))</f>
        <v/>
      </c>
      <c r="F11" s="109" t="str">
        <f>IF(ISBLANK(B11),"",VLOOKUP(B11,grains_table[#All],3))</f>
        <v/>
      </c>
      <c r="G11" s="113" t="str">
        <f t="shared" si="1"/>
        <v/>
      </c>
      <c r="H11" s="114" t="str">
        <f>IF(ISBLANK(B11),"",IF('Brewhouse Setup &amp; Calcs'!$B$2="Metric",2.20462262185*G11*C11,G11*C11))</f>
        <v/>
      </c>
      <c r="I11" s="115" t="str">
        <f>IF(ISBLANK(B11),"",IF(E11="Grain",'Brewhouse Setup &amp; Calcs'!$B$16,IF(E11="Sugar",1,)))</f>
        <v/>
      </c>
      <c r="J11" s="114" t="str">
        <f>IF(ISBLANK(B11),"",IF('Brewhouse Setup &amp; Calcs'!$B$2="Metric",H11*I11/(0.264172*'Brewhouse Setup &amp; Calcs'!$B$35),H11*I11/'Brewhouse Setup &amp; Calcs'!$B$35*4))</f>
        <v/>
      </c>
      <c r="K11" s="114" t="str">
        <f>IF(ISBLANK(B11),"",IF('Brewhouse Setup &amp; Calcs'!$B$2="Metric",H11*I11/(0.264172*'Brewhouse Setup &amp; Calcs'!$B$53),H11*I11/'Brewhouse Setup &amp; Calcs'!$B$53*4))</f>
        <v/>
      </c>
    </row>
    <row r="12" spans="2:11" x14ac:dyDescent="0.25">
      <c r="B12" s="50"/>
      <c r="C12" s="44"/>
      <c r="D12" s="111" t="str">
        <f t="shared" si="0"/>
        <v/>
      </c>
      <c r="E12" s="112" t="str">
        <f>IF(ISBLANK(B12),"",VLOOKUP(B12,grains_table[#All],2))</f>
        <v/>
      </c>
      <c r="F12" s="109" t="str">
        <f>IF(ISBLANK(B12),"",VLOOKUP(B12,grains_table[#All],3))</f>
        <v/>
      </c>
      <c r="G12" s="113" t="str">
        <f t="shared" si="1"/>
        <v/>
      </c>
      <c r="H12" s="114" t="str">
        <f>IF(ISBLANK(B12),"",IF('Brewhouse Setup &amp; Calcs'!$B$2="Metric",2.20462262185*G12*C12,G12*C12))</f>
        <v/>
      </c>
      <c r="I12" s="115" t="str">
        <f>IF(ISBLANK(B12),"",IF(E12="Grain",'Brewhouse Setup &amp; Calcs'!$B$16,IF(E12="Sugar",1,)))</f>
        <v/>
      </c>
      <c r="J12" s="114" t="str">
        <f>IF(ISBLANK(B12),"",IF('Brewhouse Setup &amp; Calcs'!$B$2="Metric",H12*I12/(0.264172*'Brewhouse Setup &amp; Calcs'!$B$35),H12*I12/'Brewhouse Setup &amp; Calcs'!$B$35*4))</f>
        <v/>
      </c>
      <c r="K12" s="114" t="str">
        <f>IF(ISBLANK(B12),"",IF('Brewhouse Setup &amp; Calcs'!$B$2="Metric",H12*I12/(0.264172*'Brewhouse Setup &amp; Calcs'!$B$53),H12*I12/'Brewhouse Setup &amp; Calcs'!$B$53*4))</f>
        <v/>
      </c>
    </row>
    <row r="13" spans="2:11" x14ac:dyDescent="0.25">
      <c r="B13" s="50"/>
      <c r="C13" s="44"/>
      <c r="D13" s="111" t="str">
        <f t="shared" si="0"/>
        <v/>
      </c>
      <c r="E13" s="112" t="str">
        <f>IF(ISBLANK(B13),"",VLOOKUP(B13,grains_table[#All],2))</f>
        <v/>
      </c>
      <c r="F13" s="109" t="str">
        <f>IF(ISBLANK(B13),"",VLOOKUP(B13,grains_table[#All],3))</f>
        <v/>
      </c>
      <c r="G13" s="113" t="str">
        <f t="shared" si="1"/>
        <v/>
      </c>
      <c r="H13" s="114" t="str">
        <f>IF(ISBLANK(B13),"",IF('Brewhouse Setup &amp; Calcs'!$B$2="Metric",2.20462262185*G13*C13,G13*C13))</f>
        <v/>
      </c>
      <c r="I13" s="115" t="str">
        <f>IF(ISBLANK(B13),"",IF(E13="Grain",'Brewhouse Setup &amp; Calcs'!$B$16,IF(E13="Sugar",1,)))</f>
        <v/>
      </c>
      <c r="J13" s="114" t="str">
        <f>IF(ISBLANK(B13),"",IF('Brewhouse Setup &amp; Calcs'!$B$2="Metric",H13*I13/(0.264172*'Brewhouse Setup &amp; Calcs'!$B$35),H13*I13/'Brewhouse Setup &amp; Calcs'!$B$35*4))</f>
        <v/>
      </c>
      <c r="K13" s="114" t="str">
        <f>IF(ISBLANK(B13),"",IF('Brewhouse Setup &amp; Calcs'!$B$2="Metric",H13*I13/(0.264172*'Brewhouse Setup &amp; Calcs'!$B$53),H13*I13/'Brewhouse Setup &amp; Calcs'!$B$53*4))</f>
        <v/>
      </c>
    </row>
    <row r="14" spans="2:11" x14ac:dyDescent="0.25">
      <c r="B14" s="25" t="s">
        <v>102</v>
      </c>
      <c r="C14" s="64">
        <f>SUMIF($E$5:$E$13,"Grain",$C$5:$C$13)</f>
        <v>0</v>
      </c>
      <c r="D14" s="97">
        <f>SUMIF($E$5:$E$13,"Grain",$D$5:$D$13)</f>
        <v>0</v>
      </c>
      <c r="G14" s="55" t="s">
        <v>1489</v>
      </c>
      <c r="H14" s="95">
        <f>SUMIF($E$5:$E$13,"Grain",$H$5:$H$13)</f>
        <v>0</v>
      </c>
      <c r="I14" s="25"/>
      <c r="J14" s="95">
        <f>SUMIF($E$5:$E$13,"Grain",$J$5:$J$13)</f>
        <v>0</v>
      </c>
      <c r="K14" s="95">
        <f>SUMIF($E$5:$E$13,"Grain",$K$5:$K$13)</f>
        <v>0</v>
      </c>
    </row>
    <row r="15" spans="2:11" x14ac:dyDescent="0.25">
      <c r="B15" s="55" t="s">
        <v>1221</v>
      </c>
      <c r="C15" s="64">
        <f>SUMIF($E$5:$E$13,"Sugar",$C$5:$C$13)</f>
        <v>0</v>
      </c>
      <c r="D15" s="97">
        <f>SUMIF($E$5:$E$13,"Sugar",$D$5:$D$13)</f>
        <v>0</v>
      </c>
      <c r="G15" s="55" t="s">
        <v>1490</v>
      </c>
      <c r="H15" s="95">
        <f>SUMIF($E$5:$E$13,"Sugar",$H$5:$H$13)</f>
        <v>0</v>
      </c>
      <c r="I15" s="25"/>
      <c r="J15" s="95">
        <f>SUMIF($E$5:$E$13,"Sugar",$J$5:$J$13)</f>
        <v>0</v>
      </c>
      <c r="K15" s="95">
        <f>SUMIF($E$5:$E$13,"Sugar",$K$5:$K$13)</f>
        <v>0</v>
      </c>
    </row>
    <row r="16" spans="2:11" x14ac:dyDescent="0.25">
      <c r="B16" s="49" t="s">
        <v>153</v>
      </c>
      <c r="C16" s="64">
        <f>C14+C15</f>
        <v>0</v>
      </c>
      <c r="D16" s="97">
        <f>D14+D15</f>
        <v>0</v>
      </c>
      <c r="G16" s="55" t="s">
        <v>153</v>
      </c>
      <c r="H16" s="95">
        <f>SUM(H5:H13)</f>
        <v>0</v>
      </c>
      <c r="J16" s="95">
        <f>SUM(J5:J13)</f>
        <v>0</v>
      </c>
      <c r="K16" s="95">
        <f>SUM(K5:K13)</f>
        <v>0</v>
      </c>
    </row>
    <row r="17" spans="5:12" x14ac:dyDescent="0.25">
      <c r="L17" s="24"/>
    </row>
    <row r="18" spans="5:12" x14ac:dyDescent="0.25">
      <c r="I18" s="49" t="s">
        <v>154</v>
      </c>
      <c r="J18" s="35">
        <f>SUMIF($E$5:$E$13,"Grain",$J$5:$J$13)*(IF(H4="PKL",2.205,1))/1000+1</f>
        <v>1</v>
      </c>
    </row>
    <row r="19" spans="5:12" x14ac:dyDescent="0.25">
      <c r="I19" s="49" t="s">
        <v>1491</v>
      </c>
      <c r="J19" s="96">
        <f>SUMIF($E$5:$E$13,"Sugar",$J$5:$J$13)/1000+1</f>
        <v>1</v>
      </c>
    </row>
    <row r="20" spans="5:12" x14ac:dyDescent="0.25">
      <c r="I20" s="49" t="s">
        <v>159</v>
      </c>
      <c r="J20" s="96">
        <f>SUM(J5:J13)/1000+1</f>
        <v>1</v>
      </c>
      <c r="K20" s="35">
        <f>SUM(K5:K13)/1000+1</f>
        <v>1</v>
      </c>
    </row>
    <row r="21" spans="5:12" x14ac:dyDescent="0.25">
      <c r="E21" s="24"/>
    </row>
  </sheetData>
  <sheetProtection sheet="1" objects="1" scenarios="1"/>
  <mergeCells count="9">
    <mergeCell ref="B2:K2"/>
    <mergeCell ref="B3:B4"/>
    <mergeCell ref="D3:D4"/>
    <mergeCell ref="E3:E4"/>
    <mergeCell ref="I3:I4"/>
    <mergeCell ref="J3:J4"/>
    <mergeCell ref="K3:K4"/>
    <mergeCell ref="H3:H4"/>
    <mergeCell ref="F3:F4"/>
  </mergeCells>
  <dataValidations count="1">
    <dataValidation type="list" showInputMessage="1" showErrorMessage="1" sqref="E5:E13">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'Grain &amp; Sugar List'!$A$3:$A$108</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F10" sqref="F10"/>
    </sheetView>
  </sheetViews>
  <sheetFormatPr defaultRowHeight="13.2" x14ac:dyDescent="0.25"/>
  <cols>
    <col min="1" max="1" width="29.77734375" bestFit="1" customWidth="1"/>
    <col min="2" max="2" width="8.5546875" customWidth="1"/>
    <col min="3" max="3" width="7.21875" customWidth="1"/>
    <col min="4" max="4" width="36.33203125" customWidth="1"/>
    <col min="5" max="5" width="6.5546875" style="30" customWidth="1"/>
    <col min="6" max="6" width="8.33203125" customWidth="1"/>
    <col min="7" max="7" width="7.21875" customWidth="1"/>
    <col min="8" max="8" width="7.88671875" customWidth="1"/>
    <col min="9" max="9" width="8" customWidth="1"/>
    <col min="10" max="10" width="8.77734375" customWidth="1"/>
  </cols>
  <sheetData>
    <row r="1" spans="1:11" x14ac:dyDescent="0.25">
      <c r="B1" s="285" t="s">
        <v>124</v>
      </c>
      <c r="C1" s="285"/>
      <c r="D1" s="285"/>
      <c r="E1" s="285"/>
      <c r="F1" s="285"/>
      <c r="G1" s="285"/>
      <c r="H1" s="285"/>
      <c r="I1" s="285"/>
      <c r="J1" s="285"/>
    </row>
    <row r="2" spans="1:11" x14ac:dyDescent="0.25">
      <c r="B2" s="34" t="s">
        <v>142</v>
      </c>
      <c r="C2" s="45">
        <v>0.1</v>
      </c>
      <c r="D2" s="25" t="s">
        <v>127</v>
      </c>
      <c r="E2" s="46">
        <v>0</v>
      </c>
      <c r="G2" s="17" t="s">
        <v>125</v>
      </c>
      <c r="H2" s="45">
        <v>0.1</v>
      </c>
      <c r="I2" s="17" t="s">
        <v>126</v>
      </c>
      <c r="J2" s="45">
        <v>0.05</v>
      </c>
    </row>
    <row r="4" spans="1:11" x14ac:dyDescent="0.25">
      <c r="B4" s="229" t="s">
        <v>97</v>
      </c>
      <c r="C4" s="229"/>
      <c r="D4" s="229"/>
      <c r="E4" s="229"/>
      <c r="F4" s="222"/>
      <c r="G4" s="229"/>
      <c r="H4" s="229"/>
      <c r="I4" s="229"/>
      <c r="J4" s="229"/>
    </row>
    <row r="5" spans="1:11" ht="30.6" customHeight="1" x14ac:dyDescent="0.25">
      <c r="B5" s="226" t="s">
        <v>96</v>
      </c>
      <c r="C5" s="226" t="s">
        <v>69</v>
      </c>
      <c r="D5" s="226" t="s">
        <v>94</v>
      </c>
      <c r="E5" s="283" t="s">
        <v>95</v>
      </c>
      <c r="F5" s="74" t="s">
        <v>168</v>
      </c>
      <c r="G5" s="226" t="s">
        <v>1506</v>
      </c>
      <c r="H5" s="226" t="s">
        <v>101</v>
      </c>
      <c r="I5" s="226" t="s">
        <v>91</v>
      </c>
      <c r="J5" s="226" t="s">
        <v>90</v>
      </c>
    </row>
    <row r="6" spans="1:11" x14ac:dyDescent="0.25">
      <c r="B6" s="223"/>
      <c r="C6" s="223"/>
      <c r="D6" s="223"/>
      <c r="E6" s="284"/>
      <c r="F6" s="73" t="str">
        <f>'Brewhouse Setup &amp; Calcs'!$B$7</f>
        <v>oz</v>
      </c>
      <c r="G6" s="223"/>
      <c r="H6" s="223"/>
      <c r="I6" s="223"/>
      <c r="J6" s="223"/>
    </row>
    <row r="7" spans="1:11" x14ac:dyDescent="0.25">
      <c r="A7" s="51" t="s">
        <v>160</v>
      </c>
      <c r="B7" s="50"/>
      <c r="C7" s="50"/>
      <c r="D7" s="65"/>
      <c r="E7" s="47"/>
      <c r="F7" s="44"/>
      <c r="G7" s="107" t="str">
        <f>IF(ISBLANK(F7),"",IF($F$6="grams",E7*F7/28.346,E7*F7))</f>
        <v/>
      </c>
      <c r="H7" s="108">
        <f>1+IF(C7="Leaf",0,IF(C7="Pellet",$H$2,IF(C7="Plug",$J$2,)))+IF(B7="FWH",$C$2,)</f>
        <v>1</v>
      </c>
      <c r="I7" s="109">
        <f>(1.65*0.000125^(('Grain &amp; Sugar Calcs'!$J$20+'Grain &amp; Sugar Calcs'!$K$20)/2-1))*((1-EXP(-0.04*IF(B7="Dry Hop",0,IF(B7="FWH",'Brewhouse Setup &amp; Calcs'!B17,B7))))/4.15)*H7</f>
        <v>0</v>
      </c>
      <c r="J7" s="110">
        <f>(E7*IF('Brewhouse Setup &amp; Calcs'!$B$7="grams",F7/28.349523,F7)*I7*74.89/IF($F$6="grams",'Brewhouse Setup &amp; Calcs'!$B$53*1.056688/4,'Brewhouse Setup &amp; Calcs'!$B$53/4))</f>
        <v>0</v>
      </c>
    </row>
    <row r="8" spans="1:11" x14ac:dyDescent="0.25">
      <c r="B8" s="43"/>
      <c r="C8" s="75"/>
      <c r="D8" s="65"/>
      <c r="E8" s="47"/>
      <c r="F8" s="44"/>
      <c r="G8" s="107" t="str">
        <f t="shared" ref="G8:G15" si="0">IF(ISBLANK(F8),"",IF($F$6="grams",E8*F8/28.346,E8*F8))</f>
        <v/>
      </c>
      <c r="H8" s="108">
        <f t="shared" ref="H8:H15" si="1">1+IF(C8="Leaf",0,IF(C8="Pellet",$H$2,IF(C8="Plug",$J$2,)))+IF(B8="FWH",$C$2,)</f>
        <v>1</v>
      </c>
      <c r="I8" s="109">
        <f>(1.65*0.000125^(('Grain &amp; Sugar Calcs'!$J$20+'Grain &amp; Sugar Calcs'!$K$20)/2-1))*((1-EXP(-0.04*IF(B8="Dry Hop",0,IF(B8="FWH",'Brewhouse Setup &amp; Calcs'!B18,B8))))/4.15)*H8</f>
        <v>0</v>
      </c>
      <c r="J8" s="110">
        <f>(E8*IF('Brewhouse Setup &amp; Calcs'!$B$7="grams",F8/28.349523,F8)*I8*74.89/IF($F$6="grams",'Brewhouse Setup &amp; Calcs'!$B$53*1.056688/4,'Brewhouse Setup &amp; Calcs'!$B$53/4))</f>
        <v>0</v>
      </c>
    </row>
    <row r="9" spans="1:11" x14ac:dyDescent="0.25">
      <c r="B9" s="50"/>
      <c r="C9" s="75"/>
      <c r="D9" s="75"/>
      <c r="E9" s="47"/>
      <c r="F9" s="44"/>
      <c r="G9" s="107" t="str">
        <f t="shared" si="0"/>
        <v/>
      </c>
      <c r="H9" s="108">
        <f t="shared" si="1"/>
        <v>1</v>
      </c>
      <c r="I9" s="109">
        <f>(1.65*0.000125^(('Grain &amp; Sugar Calcs'!$J$20+'Grain &amp; Sugar Calcs'!$K$20)/2-1))*((1-EXP(-0.04*IF(B9="Dry Hop",0,IF(B9="FWH",'Brewhouse Setup &amp; Calcs'!B19,B9))))/4.15)*H9</f>
        <v>0</v>
      </c>
      <c r="J9" s="110">
        <f>(E9*IF('Brewhouse Setup &amp; Calcs'!$B$7="grams",F9/28.349523,F9)*I9*74.89/IF($F$6="grams",'Brewhouse Setup &amp; Calcs'!$B$53*1.056688/4,'Brewhouse Setup &amp; Calcs'!$B$53/4))</f>
        <v>0</v>
      </c>
    </row>
    <row r="10" spans="1:11" x14ac:dyDescent="0.25">
      <c r="B10" s="50"/>
      <c r="C10" s="75"/>
      <c r="D10" s="75"/>
      <c r="E10" s="47"/>
      <c r="F10" s="44"/>
      <c r="G10" s="107" t="str">
        <f t="shared" si="0"/>
        <v/>
      </c>
      <c r="H10" s="108">
        <f t="shared" ref="H10:H11" si="2">1+IF(C10="Leaf",0,IF(C10="Pellet",$H$2,IF(C10="Plug",$J$2,)))+IF(B10="FWH",$C$2,)</f>
        <v>1</v>
      </c>
      <c r="I10" s="109">
        <f>(1.65*0.000125^(('Grain &amp; Sugar Calcs'!$J$20+'Grain &amp; Sugar Calcs'!$K$20)/2-1))*((1-EXP(-0.04*IF(B10="Dry Hop",0,IF(B10="FWH",'Brewhouse Setup &amp; Calcs'!B20,B10))))/4.15)*H10</f>
        <v>0</v>
      </c>
      <c r="J10" s="110">
        <f>(E10*IF('Brewhouse Setup &amp; Calcs'!$B$7="grams",F10/28.349523,F10)*I10*74.89/IF($F$6="grams",'Brewhouse Setup &amp; Calcs'!$B$53*1.056688/4,'Brewhouse Setup &amp; Calcs'!$B$53/4))</f>
        <v>0</v>
      </c>
    </row>
    <row r="11" spans="1:11" x14ac:dyDescent="0.25">
      <c r="B11" s="50"/>
      <c r="C11" s="75"/>
      <c r="D11" s="75"/>
      <c r="E11" s="47"/>
      <c r="F11" s="44"/>
      <c r="G11" s="107" t="str">
        <f t="shared" si="0"/>
        <v/>
      </c>
      <c r="H11" s="108">
        <f t="shared" si="2"/>
        <v>1</v>
      </c>
      <c r="I11" s="109">
        <f>(1.65*0.000125^(('Grain &amp; Sugar Calcs'!$J$20+'Grain &amp; Sugar Calcs'!$K$20)/2-1))*((1-EXP(-0.04*IF(B11="Dry Hop",0,IF(B11="FWH",'Brewhouse Setup &amp; Calcs'!B51,B11))))/4.15)*H11</f>
        <v>0</v>
      </c>
      <c r="J11" s="110">
        <f>(E11*IF('Brewhouse Setup &amp; Calcs'!$B$7="grams",F11/28.349523,F11)*I11*74.89/IF($F$6="grams",'Brewhouse Setup &amp; Calcs'!$B$53*1.056688/4,'Brewhouse Setup &amp; Calcs'!$B$53/4))</f>
        <v>0</v>
      </c>
    </row>
    <row r="12" spans="1:11" x14ac:dyDescent="0.25">
      <c r="B12" s="50"/>
      <c r="C12" s="75"/>
      <c r="D12" s="65"/>
      <c r="E12" s="47"/>
      <c r="F12" s="44"/>
      <c r="G12" s="107" t="str">
        <f t="shared" si="0"/>
        <v/>
      </c>
      <c r="H12" s="108">
        <f t="shared" si="1"/>
        <v>1</v>
      </c>
      <c r="I12" s="109">
        <f>(1.65*0.000125^(('Grain &amp; Sugar Calcs'!$J$20+'Grain &amp; Sugar Calcs'!$K$20)/2-1))*((1-EXP(-0.04*IF(B12="Dry Hop",0,IF(B12="FWH",'Brewhouse Setup &amp; Calcs'!B52,B12))))/4.15)*H12</f>
        <v>0</v>
      </c>
      <c r="J12" s="110">
        <f>(E12*IF('Brewhouse Setup &amp; Calcs'!$B$7="grams",F12/28.349523,F12)*I12*74.89/IF($F$6="grams",'Brewhouse Setup &amp; Calcs'!$B$53*1.056688/4,'Brewhouse Setup &amp; Calcs'!$B$53/4))</f>
        <v>0</v>
      </c>
    </row>
    <row r="13" spans="1:11" x14ac:dyDescent="0.25">
      <c r="B13" s="50"/>
      <c r="C13" s="75"/>
      <c r="D13" s="65"/>
      <c r="E13" s="47"/>
      <c r="F13" s="44"/>
      <c r="G13" s="107" t="str">
        <f t="shared" si="0"/>
        <v/>
      </c>
      <c r="H13" s="108">
        <f t="shared" si="1"/>
        <v>1</v>
      </c>
      <c r="I13" s="109">
        <f>(1.65*0.000125^(('Grain &amp; Sugar Calcs'!$J$20+'Grain &amp; Sugar Calcs'!$K$20)/2-1))*((1-EXP(-0.04*IF(B13="Dry Hop",0,IF(B13="FWH",'Brewhouse Setup &amp; Calcs'!#REF!,B13))))/4.15)*H13</f>
        <v>0</v>
      </c>
      <c r="J13" s="110">
        <f>(E13*IF('Brewhouse Setup &amp; Calcs'!$B$7="grams",F13/28.349523,F13)*I13*74.89/IF($F$6="grams",'Brewhouse Setup &amp; Calcs'!$B$53*1.056688/4,'Brewhouse Setup &amp; Calcs'!$B$53/4))</f>
        <v>0</v>
      </c>
    </row>
    <row r="14" spans="1:11" x14ac:dyDescent="0.25">
      <c r="B14" s="50"/>
      <c r="C14" s="75"/>
      <c r="D14" s="65"/>
      <c r="E14" s="47"/>
      <c r="F14" s="44"/>
      <c r="G14" s="107" t="str">
        <f t="shared" si="0"/>
        <v/>
      </c>
      <c r="H14" s="108">
        <f t="shared" si="1"/>
        <v>1</v>
      </c>
      <c r="I14" s="109">
        <f>(1.65*0.000125^(('Grain &amp; Sugar Calcs'!$J$20+'Grain &amp; Sugar Calcs'!$K$20)/2-1))*((1-EXP(-0.04*IF(B14="Dry Hop",0,IF(B14="FWH",'Brewhouse Setup &amp; Calcs'!B35,B14))))/4.15)*H14</f>
        <v>0</v>
      </c>
      <c r="J14" s="110">
        <f>(E14*IF('Brewhouse Setup &amp; Calcs'!$B$7="grams",F14/28.349523,F14)*I14*74.89/IF($F$6="grams",'Brewhouse Setup &amp; Calcs'!$B$53*1.056688/4,'Brewhouse Setup &amp; Calcs'!$B$53/4))</f>
        <v>0</v>
      </c>
    </row>
    <row r="15" spans="1:11" x14ac:dyDescent="0.25">
      <c r="A15" s="25"/>
      <c r="B15" s="50"/>
      <c r="C15" s="75"/>
      <c r="D15" s="65"/>
      <c r="E15" s="47"/>
      <c r="F15" s="44"/>
      <c r="G15" s="107" t="str">
        <f t="shared" si="0"/>
        <v/>
      </c>
      <c r="H15" s="108">
        <f t="shared" si="1"/>
        <v>1</v>
      </c>
      <c r="I15" s="109">
        <f>(1.65*0.000125^(('Grain &amp; Sugar Calcs'!$J$20+'Grain &amp; Sugar Calcs'!$K$20)/2-1))*((1-EXP(-0.04*IF(B15="Dry Hop",0,IF(B15="FWH",'Brewhouse Setup &amp; Calcs'!B53,B15))))/4.15)*H15</f>
        <v>0</v>
      </c>
      <c r="J15" s="110">
        <f>(E15*IF('Brewhouse Setup &amp; Calcs'!$B$7="grams",F15/28.349523,F15)*I15*74.89/IF($F$6="grams",'Brewhouse Setup &amp; Calcs'!$B$53*1.056688/4,'Brewhouse Setup &amp; Calcs'!$B$53/4))</f>
        <v>0</v>
      </c>
    </row>
    <row r="16" spans="1:11" x14ac:dyDescent="0.25">
      <c r="C16" s="36"/>
      <c r="J16" s="29">
        <f>SUM(J7:J15)</f>
        <v>0</v>
      </c>
      <c r="K16" s="26" t="s">
        <v>93</v>
      </c>
    </row>
    <row r="17" spans="3:3" x14ac:dyDescent="0.25">
      <c r="C17" s="36"/>
    </row>
    <row r="18" spans="3:3" x14ac:dyDescent="0.25">
      <c r="C18" s="36"/>
    </row>
    <row r="19" spans="3:3" x14ac:dyDescent="0.25">
      <c r="C19" s="36"/>
    </row>
    <row r="20" spans="3:3" x14ac:dyDescent="0.25">
      <c r="C20" s="36"/>
    </row>
    <row r="21" spans="3:3" x14ac:dyDescent="0.25">
      <c r="C21" s="36"/>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B7:B15">
      <formula1>"FWH,60,45,30,20,15,10,5,1,0,Dry Hop"</formula1>
    </dataValidation>
    <dataValidation type="list" allowBlank="1" showInputMessage="1" showErrorMessage="1" sqref="C7:C15">
      <formula1>"Leaf,Pellet,Plug"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7" workbookViewId="0">
      <selection activeCell="E84" sqref="E84"/>
    </sheetView>
  </sheetViews>
  <sheetFormatPr defaultRowHeight="13.2" x14ac:dyDescent="0.25"/>
  <cols>
    <col min="1" max="1" width="26.6640625" bestFit="1" customWidth="1"/>
    <col min="2" max="2" width="9.6640625" customWidth="1"/>
    <col min="3" max="3" width="10.77734375" style="54" bestFit="1" customWidth="1"/>
    <col min="4" max="4" width="8.88671875" style="54"/>
    <col min="5" max="5" width="141.5546875" bestFit="1" customWidth="1"/>
    <col min="6" max="25" width="4.88671875" customWidth="1"/>
    <col min="30" max="30" width="10.109375" customWidth="1"/>
  </cols>
  <sheetData>
    <row r="1" spans="1:5" x14ac:dyDescent="0.25">
      <c r="A1" s="59" t="s">
        <v>1061</v>
      </c>
      <c r="B1" s="59" t="s">
        <v>69</v>
      </c>
      <c r="C1" s="53" t="s">
        <v>1023</v>
      </c>
      <c r="D1" s="53" t="s">
        <v>1022</v>
      </c>
      <c r="E1" s="59" t="s">
        <v>70</v>
      </c>
    </row>
    <row r="2" spans="1:5" x14ac:dyDescent="0.25">
      <c r="A2" s="59"/>
      <c r="B2" s="140"/>
      <c r="C2" s="53"/>
      <c r="D2" s="53"/>
      <c r="E2" s="59"/>
    </row>
    <row r="3" spans="1:5" x14ac:dyDescent="0.25">
      <c r="A3" t="s">
        <v>1549</v>
      </c>
      <c r="B3" s="56" t="s">
        <v>92</v>
      </c>
      <c r="C3" s="139">
        <v>1.0329999999999999</v>
      </c>
      <c r="D3" s="139" t="s">
        <v>172</v>
      </c>
      <c r="E3" t="s">
        <v>173</v>
      </c>
    </row>
    <row r="4" spans="1:5" x14ac:dyDescent="0.25">
      <c r="A4" t="s">
        <v>1024</v>
      </c>
      <c r="B4" s="56" t="s">
        <v>92</v>
      </c>
      <c r="C4" s="54">
        <v>1.032</v>
      </c>
      <c r="D4" s="54" t="s">
        <v>174</v>
      </c>
      <c r="E4" t="s">
        <v>175</v>
      </c>
    </row>
    <row r="5" spans="1:5" x14ac:dyDescent="0.25">
      <c r="A5" t="s">
        <v>1025</v>
      </c>
      <c r="B5" s="56" t="s">
        <v>92</v>
      </c>
      <c r="C5" s="54">
        <v>1.032</v>
      </c>
      <c r="D5" s="54" t="s">
        <v>176</v>
      </c>
      <c r="E5" t="s">
        <v>177</v>
      </c>
    </row>
    <row r="6" spans="1:5" x14ac:dyDescent="0.25">
      <c r="A6" t="s">
        <v>178</v>
      </c>
      <c r="B6" s="56" t="s">
        <v>92</v>
      </c>
      <c r="C6" s="54">
        <v>1.036</v>
      </c>
      <c r="D6" s="54" t="s">
        <v>179</v>
      </c>
      <c r="E6" t="s">
        <v>180</v>
      </c>
    </row>
    <row r="7" spans="1:5" x14ac:dyDescent="0.25">
      <c r="A7" t="s">
        <v>181</v>
      </c>
      <c r="B7" s="56" t="s">
        <v>1060</v>
      </c>
      <c r="C7" s="54">
        <v>1.036</v>
      </c>
      <c r="D7" s="54" t="s">
        <v>182</v>
      </c>
      <c r="E7" t="s">
        <v>183</v>
      </c>
    </row>
    <row r="8" spans="1:5" x14ac:dyDescent="0.25">
      <c r="A8" t="s">
        <v>184</v>
      </c>
      <c r="B8" s="56" t="s">
        <v>92</v>
      </c>
      <c r="C8" s="54">
        <v>1.038</v>
      </c>
      <c r="D8" s="54" t="s">
        <v>185</v>
      </c>
      <c r="E8" t="s">
        <v>186</v>
      </c>
    </row>
    <row r="9" spans="1:5" x14ac:dyDescent="0.25">
      <c r="A9" t="s">
        <v>187</v>
      </c>
      <c r="B9" s="56" t="s">
        <v>92</v>
      </c>
      <c r="C9" s="54">
        <v>1.0349999999999999</v>
      </c>
      <c r="D9" s="54" t="s">
        <v>188</v>
      </c>
      <c r="E9" t="s">
        <v>189</v>
      </c>
    </row>
    <row r="10" spans="1:5" x14ac:dyDescent="0.25">
      <c r="A10" t="s">
        <v>190</v>
      </c>
      <c r="B10" s="56" t="s">
        <v>92</v>
      </c>
      <c r="C10" s="54">
        <v>1.0249999999999999</v>
      </c>
      <c r="D10" s="54" t="s">
        <v>191</v>
      </c>
      <c r="E10" t="s">
        <v>192</v>
      </c>
    </row>
    <row r="11" spans="1:5" x14ac:dyDescent="0.25">
      <c r="A11" t="s">
        <v>1026</v>
      </c>
      <c r="B11" s="56" t="s">
        <v>92</v>
      </c>
      <c r="C11" s="54">
        <v>1.026</v>
      </c>
      <c r="D11" s="54" t="s">
        <v>193</v>
      </c>
      <c r="E11" t="s">
        <v>194</v>
      </c>
    </row>
    <row r="12" spans="1:5" x14ac:dyDescent="0.25">
      <c r="A12" t="s">
        <v>1027</v>
      </c>
      <c r="B12" s="56" t="s">
        <v>92</v>
      </c>
      <c r="C12" s="54">
        <v>1.026</v>
      </c>
      <c r="D12" s="54" t="s">
        <v>195</v>
      </c>
      <c r="E12" t="s">
        <v>196</v>
      </c>
    </row>
    <row r="13" spans="1:5" x14ac:dyDescent="0.25">
      <c r="A13" t="s">
        <v>197</v>
      </c>
      <c r="B13" s="56" t="s">
        <v>92</v>
      </c>
      <c r="C13" s="54">
        <v>1.032</v>
      </c>
      <c r="D13" s="54" t="s">
        <v>176</v>
      </c>
      <c r="E13" t="s">
        <v>177</v>
      </c>
    </row>
    <row r="14" spans="1:5" x14ac:dyDescent="0.25">
      <c r="A14" t="s">
        <v>198</v>
      </c>
      <c r="B14" s="56" t="s">
        <v>1060</v>
      </c>
      <c r="C14" s="54">
        <v>1.046</v>
      </c>
      <c r="D14" s="54" t="s">
        <v>199</v>
      </c>
      <c r="E14" t="s">
        <v>200</v>
      </c>
    </row>
    <row r="15" spans="1:5" x14ac:dyDescent="0.25">
      <c r="A15" t="s">
        <v>201</v>
      </c>
      <c r="B15" s="56" t="s">
        <v>1060</v>
      </c>
      <c r="C15" s="54">
        <v>1.036</v>
      </c>
      <c r="D15" s="54" t="s">
        <v>202</v>
      </c>
      <c r="E15" t="s">
        <v>203</v>
      </c>
    </row>
    <row r="16" spans="1:5" x14ac:dyDescent="0.25">
      <c r="A16" t="s">
        <v>204</v>
      </c>
      <c r="B16" s="56" t="s">
        <v>1060</v>
      </c>
      <c r="C16" s="54">
        <v>1.036</v>
      </c>
      <c r="D16" s="54" t="s">
        <v>205</v>
      </c>
      <c r="E16" t="s">
        <v>206</v>
      </c>
    </row>
    <row r="17" spans="1:5" x14ac:dyDescent="0.25">
      <c r="A17" t="s">
        <v>207</v>
      </c>
      <c r="B17" s="56" t="s">
        <v>92</v>
      </c>
      <c r="C17" s="54">
        <v>1.0349999999999999</v>
      </c>
      <c r="D17" s="54" t="s">
        <v>208</v>
      </c>
      <c r="E17" t="s">
        <v>209</v>
      </c>
    </row>
    <row r="18" spans="1:5" x14ac:dyDescent="0.25">
      <c r="A18" t="s">
        <v>210</v>
      </c>
      <c r="B18" s="56" t="s">
        <v>92</v>
      </c>
      <c r="C18" s="54">
        <v>1.0329999999999999</v>
      </c>
      <c r="D18" s="54" t="s">
        <v>211</v>
      </c>
      <c r="E18" t="s">
        <v>212</v>
      </c>
    </row>
    <row r="19" spans="1:5" x14ac:dyDescent="0.25">
      <c r="A19" t="s">
        <v>213</v>
      </c>
      <c r="B19" s="56" t="s">
        <v>92</v>
      </c>
      <c r="C19" s="54">
        <v>1.034</v>
      </c>
      <c r="D19" s="54" t="s">
        <v>214</v>
      </c>
      <c r="E19" t="s">
        <v>215</v>
      </c>
    </row>
    <row r="20" spans="1:5" x14ac:dyDescent="0.25">
      <c r="A20" t="s">
        <v>216</v>
      </c>
      <c r="B20" s="56" t="s">
        <v>92</v>
      </c>
      <c r="C20" s="54">
        <v>1.038</v>
      </c>
      <c r="D20" s="54" t="s">
        <v>217</v>
      </c>
      <c r="E20" t="s">
        <v>218</v>
      </c>
    </row>
    <row r="21" spans="1:5" x14ac:dyDescent="0.25">
      <c r="A21" t="s">
        <v>219</v>
      </c>
      <c r="B21" s="56" t="s">
        <v>92</v>
      </c>
      <c r="C21" s="54">
        <v>1.038</v>
      </c>
      <c r="D21" s="54" t="s">
        <v>220</v>
      </c>
      <c r="E21" t="s">
        <v>221</v>
      </c>
    </row>
    <row r="22" spans="1:5" x14ac:dyDescent="0.25">
      <c r="A22" t="s">
        <v>222</v>
      </c>
      <c r="B22" s="56" t="s">
        <v>92</v>
      </c>
      <c r="C22" s="54">
        <v>1.038</v>
      </c>
      <c r="D22" s="54" t="s">
        <v>223</v>
      </c>
    </row>
    <row r="23" spans="1:5" x14ac:dyDescent="0.25">
      <c r="A23" t="s">
        <v>224</v>
      </c>
      <c r="B23" s="56" t="s">
        <v>92</v>
      </c>
      <c r="C23" s="54">
        <v>1.0329999999999999</v>
      </c>
      <c r="D23" s="54" t="s">
        <v>225</v>
      </c>
      <c r="E23" t="s">
        <v>226</v>
      </c>
    </row>
    <row r="24" spans="1:5" x14ac:dyDescent="0.25">
      <c r="A24" t="s">
        <v>227</v>
      </c>
      <c r="B24" s="56" t="s">
        <v>92</v>
      </c>
      <c r="C24" s="54">
        <v>1.034</v>
      </c>
      <c r="D24" s="54" t="s">
        <v>228</v>
      </c>
      <c r="E24" t="s">
        <v>229</v>
      </c>
    </row>
    <row r="25" spans="1:5" x14ac:dyDescent="0.25">
      <c r="A25" t="s">
        <v>230</v>
      </c>
      <c r="B25" s="56" t="s">
        <v>92</v>
      </c>
      <c r="C25" s="54" t="s">
        <v>232</v>
      </c>
      <c r="D25" s="54" t="s">
        <v>231</v>
      </c>
      <c r="E25" t="s">
        <v>233</v>
      </c>
    </row>
    <row r="26" spans="1:5" x14ac:dyDescent="0.25">
      <c r="A26" t="s">
        <v>234</v>
      </c>
      <c r="B26" s="56" t="s">
        <v>92</v>
      </c>
      <c r="C26" s="54">
        <v>1.03</v>
      </c>
      <c r="D26" s="54" t="s">
        <v>235</v>
      </c>
      <c r="E26" t="s">
        <v>236</v>
      </c>
    </row>
    <row r="27" spans="1:5" x14ac:dyDescent="0.25">
      <c r="A27" t="s">
        <v>1496</v>
      </c>
      <c r="B27" s="56" t="s">
        <v>92</v>
      </c>
      <c r="C27" s="54">
        <v>1.0349999999999999</v>
      </c>
      <c r="D27" s="54" t="s">
        <v>238</v>
      </c>
      <c r="E27" t="s">
        <v>239</v>
      </c>
    </row>
    <row r="28" spans="1:5" x14ac:dyDescent="0.25">
      <c r="A28" t="s">
        <v>1497</v>
      </c>
      <c r="B28" s="56" t="s">
        <v>92</v>
      </c>
      <c r="C28" s="54">
        <v>1.0329999999999999</v>
      </c>
      <c r="D28" s="54" t="s">
        <v>241</v>
      </c>
      <c r="E28" t="s">
        <v>242</v>
      </c>
    </row>
    <row r="29" spans="1:5" x14ac:dyDescent="0.25">
      <c r="A29" t="s">
        <v>1498</v>
      </c>
      <c r="B29" s="56" t="s">
        <v>92</v>
      </c>
      <c r="C29" s="54">
        <v>1.0349999999999999</v>
      </c>
      <c r="D29" s="54" t="s">
        <v>244</v>
      </c>
    </row>
    <row r="30" spans="1:5" x14ac:dyDescent="0.25">
      <c r="A30" t="s">
        <v>1499</v>
      </c>
      <c r="B30" s="56" t="s">
        <v>92</v>
      </c>
      <c r="C30" s="54">
        <v>1.0349999999999999</v>
      </c>
      <c r="D30" s="54" t="s">
        <v>246</v>
      </c>
      <c r="E30" t="s">
        <v>247</v>
      </c>
    </row>
    <row r="31" spans="1:5" x14ac:dyDescent="0.25">
      <c r="A31" t="s">
        <v>1500</v>
      </c>
      <c r="B31" s="56" t="s">
        <v>92</v>
      </c>
      <c r="C31" s="54">
        <v>1.034</v>
      </c>
      <c r="D31" s="54" t="s">
        <v>249</v>
      </c>
      <c r="E31" t="s">
        <v>250</v>
      </c>
    </row>
    <row r="32" spans="1:5" x14ac:dyDescent="0.25">
      <c r="A32" t="s">
        <v>1501</v>
      </c>
      <c r="B32" s="56" t="s">
        <v>92</v>
      </c>
      <c r="C32" s="54">
        <v>1.034</v>
      </c>
      <c r="D32" s="54" t="s">
        <v>252</v>
      </c>
      <c r="E32" t="s">
        <v>253</v>
      </c>
    </row>
    <row r="33" spans="1:5" x14ac:dyDescent="0.25">
      <c r="A33" t="s">
        <v>1502</v>
      </c>
      <c r="B33" s="56" t="s">
        <v>92</v>
      </c>
      <c r="C33" s="54">
        <v>1.034</v>
      </c>
      <c r="D33" s="54" t="s">
        <v>255</v>
      </c>
      <c r="E33" t="s">
        <v>256</v>
      </c>
    </row>
    <row r="34" spans="1:5" x14ac:dyDescent="0.25">
      <c r="A34" t="s">
        <v>1503</v>
      </c>
      <c r="B34" s="56" t="s">
        <v>92</v>
      </c>
      <c r="C34" s="54">
        <v>1.034</v>
      </c>
      <c r="D34" s="54" t="s">
        <v>257</v>
      </c>
      <c r="E34" t="s">
        <v>258</v>
      </c>
    </row>
    <row r="35" spans="1:5" x14ac:dyDescent="0.25">
      <c r="A35" t="s">
        <v>1504</v>
      </c>
      <c r="B35" s="56" t="s">
        <v>92</v>
      </c>
      <c r="C35" s="54">
        <v>1.034</v>
      </c>
      <c r="D35" s="54" t="s">
        <v>259</v>
      </c>
      <c r="E35" t="s">
        <v>260</v>
      </c>
    </row>
    <row r="36" spans="1:5" x14ac:dyDescent="0.25">
      <c r="A36" t="s">
        <v>237</v>
      </c>
      <c r="B36" s="56" t="s">
        <v>92</v>
      </c>
      <c r="C36" s="54">
        <v>1.0329999999999999</v>
      </c>
      <c r="D36" s="54" t="s">
        <v>261</v>
      </c>
      <c r="E36" t="s">
        <v>262</v>
      </c>
    </row>
    <row r="37" spans="1:5" x14ac:dyDescent="0.25">
      <c r="A37" t="s">
        <v>240</v>
      </c>
      <c r="B37" s="56" t="s">
        <v>92</v>
      </c>
      <c r="C37" s="54">
        <v>1.034</v>
      </c>
      <c r="D37" s="54" t="s">
        <v>264</v>
      </c>
      <c r="E37" t="s">
        <v>265</v>
      </c>
    </row>
    <row r="38" spans="1:5" x14ac:dyDescent="0.25">
      <c r="A38" t="s">
        <v>243</v>
      </c>
      <c r="B38" s="56" t="s">
        <v>92</v>
      </c>
      <c r="C38" s="54">
        <v>1.034</v>
      </c>
      <c r="D38" s="54" t="s">
        <v>220</v>
      </c>
      <c r="E38" t="s">
        <v>267</v>
      </c>
    </row>
    <row r="39" spans="1:5" x14ac:dyDescent="0.25">
      <c r="A39" t="s">
        <v>245</v>
      </c>
      <c r="B39" s="56" t="s">
        <v>92</v>
      </c>
      <c r="C39" s="54">
        <v>1.034</v>
      </c>
      <c r="D39" s="54" t="s">
        <v>269</v>
      </c>
      <c r="E39" t="s">
        <v>270</v>
      </c>
    </row>
    <row r="40" spans="1:5" x14ac:dyDescent="0.25">
      <c r="A40" t="s">
        <v>248</v>
      </c>
      <c r="B40" s="56" t="s">
        <v>92</v>
      </c>
      <c r="C40" s="54">
        <v>1.0329999999999999</v>
      </c>
      <c r="D40" s="54" t="s">
        <v>271</v>
      </c>
      <c r="E40" t="s">
        <v>272</v>
      </c>
    </row>
    <row r="41" spans="1:5" x14ac:dyDescent="0.25">
      <c r="A41" t="s">
        <v>251</v>
      </c>
      <c r="B41" s="56" t="s">
        <v>92</v>
      </c>
      <c r="C41" s="54">
        <v>1.0329999999999999</v>
      </c>
      <c r="D41" s="54" t="s">
        <v>273</v>
      </c>
      <c r="E41" t="s">
        <v>274</v>
      </c>
    </row>
    <row r="42" spans="1:5" x14ac:dyDescent="0.25">
      <c r="A42" t="s">
        <v>254</v>
      </c>
      <c r="B42" s="56" t="s">
        <v>92</v>
      </c>
      <c r="C42" s="54">
        <v>1.034</v>
      </c>
      <c r="D42" s="54" t="s">
        <v>275</v>
      </c>
      <c r="E42" t="s">
        <v>272</v>
      </c>
    </row>
    <row r="43" spans="1:5" x14ac:dyDescent="0.25">
      <c r="A43" t="s">
        <v>1028</v>
      </c>
      <c r="B43" s="56" t="s">
        <v>92</v>
      </c>
      <c r="C43" s="54">
        <v>1.03</v>
      </c>
      <c r="D43" s="54" t="s">
        <v>276</v>
      </c>
      <c r="E43" t="s">
        <v>272</v>
      </c>
    </row>
    <row r="44" spans="1:5" x14ac:dyDescent="0.25">
      <c r="A44" t="s">
        <v>1030</v>
      </c>
      <c r="B44" s="56" t="s">
        <v>92</v>
      </c>
      <c r="C44" s="54">
        <v>1.034</v>
      </c>
      <c r="D44" s="54" t="s">
        <v>199</v>
      </c>
      <c r="E44" t="s">
        <v>272</v>
      </c>
    </row>
    <row r="45" spans="1:5" x14ac:dyDescent="0.25">
      <c r="A45" t="s">
        <v>1029</v>
      </c>
      <c r="B45" s="56" t="s">
        <v>92</v>
      </c>
      <c r="C45" s="54">
        <v>1.034</v>
      </c>
      <c r="D45" s="54" t="s">
        <v>277</v>
      </c>
      <c r="E45" t="s">
        <v>278</v>
      </c>
    </row>
    <row r="46" spans="1:5" x14ac:dyDescent="0.25">
      <c r="A46" t="s">
        <v>263</v>
      </c>
      <c r="B46" s="56" t="s">
        <v>92</v>
      </c>
      <c r="C46" s="54">
        <v>1.03</v>
      </c>
      <c r="D46" s="54" t="s">
        <v>279</v>
      </c>
      <c r="E46" t="s">
        <v>280</v>
      </c>
    </row>
    <row r="47" spans="1:5" x14ac:dyDescent="0.25">
      <c r="A47" t="s">
        <v>266</v>
      </c>
      <c r="B47" s="56" t="s">
        <v>92</v>
      </c>
      <c r="C47" s="54">
        <v>1.038</v>
      </c>
      <c r="D47" s="54" t="s">
        <v>281</v>
      </c>
      <c r="E47" t="s">
        <v>282</v>
      </c>
    </row>
    <row r="48" spans="1:5" x14ac:dyDescent="0.25">
      <c r="A48" t="s">
        <v>268</v>
      </c>
      <c r="B48" s="56" t="s">
        <v>1060</v>
      </c>
      <c r="C48" s="54">
        <v>1.0369999999999999</v>
      </c>
      <c r="D48" s="54" t="s">
        <v>283</v>
      </c>
      <c r="E48" t="s">
        <v>274</v>
      </c>
    </row>
    <row r="49" spans="1:5" x14ac:dyDescent="0.25">
      <c r="A49" t="s">
        <v>284</v>
      </c>
      <c r="B49" s="56" t="s">
        <v>1060</v>
      </c>
      <c r="C49" s="54">
        <v>1.046</v>
      </c>
      <c r="D49" s="54" t="s">
        <v>279</v>
      </c>
      <c r="E49" t="s">
        <v>200</v>
      </c>
    </row>
    <row r="50" spans="1:5" x14ac:dyDescent="0.25">
      <c r="A50" t="s">
        <v>285</v>
      </c>
      <c r="B50" s="56" t="s">
        <v>92</v>
      </c>
      <c r="C50" s="54">
        <v>1.034</v>
      </c>
      <c r="D50" s="54" t="s">
        <v>286</v>
      </c>
      <c r="E50" t="s">
        <v>287</v>
      </c>
    </row>
    <row r="51" spans="1:5" x14ac:dyDescent="0.25">
      <c r="A51" t="s">
        <v>288</v>
      </c>
      <c r="B51" s="56" t="s">
        <v>92</v>
      </c>
      <c r="C51" s="54">
        <v>1.034</v>
      </c>
      <c r="D51" s="54" t="s">
        <v>289</v>
      </c>
      <c r="E51" t="s">
        <v>290</v>
      </c>
    </row>
    <row r="52" spans="1:5" x14ac:dyDescent="0.25">
      <c r="A52" t="s">
        <v>291</v>
      </c>
      <c r="B52" s="56" t="s">
        <v>92</v>
      </c>
      <c r="C52" s="54">
        <v>1.03</v>
      </c>
      <c r="D52" s="54" t="s">
        <v>195</v>
      </c>
      <c r="E52" t="s">
        <v>292</v>
      </c>
    </row>
    <row r="53" spans="1:5" x14ac:dyDescent="0.25">
      <c r="A53" t="s">
        <v>293</v>
      </c>
      <c r="B53" s="56" t="s">
        <v>1060</v>
      </c>
      <c r="C53" s="54">
        <v>1.0415000000000001</v>
      </c>
      <c r="D53" s="54" t="s">
        <v>269</v>
      </c>
      <c r="E53" t="s">
        <v>294</v>
      </c>
    </row>
    <row r="54" spans="1:5" x14ac:dyDescent="0.25">
      <c r="A54" t="s">
        <v>295</v>
      </c>
      <c r="B54" s="56" t="s">
        <v>92</v>
      </c>
      <c r="C54" s="54">
        <v>1.0329999999999999</v>
      </c>
      <c r="D54" s="54" t="s">
        <v>296</v>
      </c>
      <c r="E54" t="s">
        <v>297</v>
      </c>
    </row>
    <row r="55" spans="1:5" x14ac:dyDescent="0.25">
      <c r="A55" t="s">
        <v>298</v>
      </c>
      <c r="B55" s="56" t="s">
        <v>1060</v>
      </c>
      <c r="C55" s="54">
        <v>1.0369999999999999</v>
      </c>
      <c r="D55" s="54" t="s">
        <v>269</v>
      </c>
      <c r="E55" t="s">
        <v>299</v>
      </c>
    </row>
    <row r="56" spans="1:5" x14ac:dyDescent="0.25">
      <c r="A56" t="s">
        <v>300</v>
      </c>
      <c r="B56" s="56" t="s">
        <v>1060</v>
      </c>
      <c r="C56" s="54">
        <v>1.044</v>
      </c>
      <c r="D56" s="54" t="s">
        <v>301</v>
      </c>
      <c r="E56" t="s">
        <v>302</v>
      </c>
    </row>
    <row r="57" spans="1:5" x14ac:dyDescent="0.25">
      <c r="A57" t="s">
        <v>303</v>
      </c>
      <c r="B57" s="56" t="s">
        <v>92</v>
      </c>
      <c r="C57" s="54">
        <v>1.032</v>
      </c>
      <c r="D57" s="54" t="s">
        <v>296</v>
      </c>
      <c r="E57" t="s">
        <v>304</v>
      </c>
    </row>
    <row r="58" spans="1:5" x14ac:dyDescent="0.25">
      <c r="A58" t="s">
        <v>305</v>
      </c>
      <c r="B58" s="56" t="s">
        <v>92</v>
      </c>
      <c r="C58" s="54">
        <v>1.0369999999999999</v>
      </c>
      <c r="D58" s="54" t="s">
        <v>269</v>
      </c>
      <c r="E58" t="s">
        <v>306</v>
      </c>
    </row>
    <row r="59" spans="1:5" x14ac:dyDescent="0.25">
      <c r="A59" t="s">
        <v>307</v>
      </c>
      <c r="B59" s="56" t="s">
        <v>92</v>
      </c>
      <c r="C59" s="54">
        <v>1.0329999999999999</v>
      </c>
      <c r="D59" s="54" t="s">
        <v>269</v>
      </c>
      <c r="E59" t="s">
        <v>308</v>
      </c>
    </row>
    <row r="60" spans="1:5" x14ac:dyDescent="0.25">
      <c r="A60" t="s">
        <v>309</v>
      </c>
      <c r="B60" s="56" t="s">
        <v>92</v>
      </c>
      <c r="C60" s="54">
        <v>1.036</v>
      </c>
      <c r="D60" s="54" t="s">
        <v>310</v>
      </c>
      <c r="E60" t="s">
        <v>311</v>
      </c>
    </row>
    <row r="61" spans="1:5" x14ac:dyDescent="0.25">
      <c r="A61" t="s">
        <v>312</v>
      </c>
      <c r="B61" s="56" t="s">
        <v>92</v>
      </c>
      <c r="C61" s="54">
        <v>1.036</v>
      </c>
      <c r="D61" s="54" t="s">
        <v>310</v>
      </c>
      <c r="E61" t="s">
        <v>313</v>
      </c>
    </row>
    <row r="62" spans="1:5" x14ac:dyDescent="0.25">
      <c r="A62" s="24" t="s">
        <v>314</v>
      </c>
      <c r="B62" s="56" t="s">
        <v>92</v>
      </c>
      <c r="C62" s="54" t="s">
        <v>232</v>
      </c>
      <c r="D62" s="54" t="s">
        <v>315</v>
      </c>
      <c r="E62" t="s">
        <v>316</v>
      </c>
    </row>
    <row r="63" spans="1:5" x14ac:dyDescent="0.25">
      <c r="A63" t="s">
        <v>317</v>
      </c>
      <c r="B63" s="56" t="s">
        <v>92</v>
      </c>
      <c r="C63" s="54">
        <v>1.034</v>
      </c>
      <c r="D63" s="54" t="s">
        <v>318</v>
      </c>
      <c r="E63" t="s">
        <v>319</v>
      </c>
    </row>
    <row r="64" spans="1:5" x14ac:dyDescent="0.25">
      <c r="A64" t="s">
        <v>320</v>
      </c>
      <c r="B64" s="56" t="s">
        <v>92</v>
      </c>
      <c r="C64" s="54">
        <v>1.0369999999999999</v>
      </c>
      <c r="D64" s="54" t="s">
        <v>321</v>
      </c>
      <c r="E64" t="s">
        <v>322</v>
      </c>
    </row>
    <row r="65" spans="1:5" x14ac:dyDescent="0.25">
      <c r="A65" t="s">
        <v>323</v>
      </c>
      <c r="B65" s="56" t="s">
        <v>1060</v>
      </c>
      <c r="C65" s="54">
        <v>1.032</v>
      </c>
      <c r="D65" s="54" t="s">
        <v>301</v>
      </c>
      <c r="E65" t="s">
        <v>324</v>
      </c>
    </row>
    <row r="66" spans="1:5" x14ac:dyDescent="0.25">
      <c r="A66" t="s">
        <v>325</v>
      </c>
      <c r="B66" s="56" t="s">
        <v>1060</v>
      </c>
      <c r="C66" s="54">
        <v>1.046</v>
      </c>
      <c r="D66" s="54" t="s">
        <v>232</v>
      </c>
      <c r="E66" t="s">
        <v>326</v>
      </c>
    </row>
    <row r="67" spans="1:5" x14ac:dyDescent="0.25">
      <c r="A67" t="s">
        <v>327</v>
      </c>
      <c r="B67" s="56" t="s">
        <v>92</v>
      </c>
      <c r="C67" s="54">
        <v>1.034</v>
      </c>
      <c r="D67" s="54" t="s">
        <v>328</v>
      </c>
      <c r="E67" t="s">
        <v>329</v>
      </c>
    </row>
    <row r="68" spans="1:5" x14ac:dyDescent="0.25">
      <c r="A68" t="s">
        <v>330</v>
      </c>
      <c r="B68" s="56" t="s">
        <v>1060</v>
      </c>
      <c r="C68" s="54">
        <v>1.0429999999999999</v>
      </c>
      <c r="D68" s="54" t="s">
        <v>232</v>
      </c>
      <c r="E68" t="s">
        <v>331</v>
      </c>
    </row>
    <row r="69" spans="1:5" x14ac:dyDescent="0.25">
      <c r="A69" t="s">
        <v>332</v>
      </c>
      <c r="B69" s="56" t="s">
        <v>92</v>
      </c>
      <c r="C69" s="54">
        <v>1.038</v>
      </c>
      <c r="D69" s="54" t="s">
        <v>333</v>
      </c>
      <c r="E69" t="s">
        <v>334</v>
      </c>
    </row>
    <row r="70" spans="1:5" x14ac:dyDescent="0.25">
      <c r="A70" t="s">
        <v>335</v>
      </c>
      <c r="B70" s="56" t="s">
        <v>92</v>
      </c>
      <c r="C70" s="54">
        <v>1.034</v>
      </c>
      <c r="D70" s="54" t="s">
        <v>336</v>
      </c>
      <c r="E70" t="s">
        <v>337</v>
      </c>
    </row>
    <row r="71" spans="1:5" x14ac:dyDescent="0.25">
      <c r="A71" s="24" t="s">
        <v>1067</v>
      </c>
      <c r="B71" s="56" t="s">
        <v>1060</v>
      </c>
      <c r="C71" s="54">
        <v>1.0349999999999999</v>
      </c>
      <c r="D71" s="54" t="s">
        <v>339</v>
      </c>
      <c r="E71" t="s">
        <v>340</v>
      </c>
    </row>
    <row r="72" spans="1:5" x14ac:dyDescent="0.25">
      <c r="A72" t="s">
        <v>338</v>
      </c>
      <c r="B72" s="56" t="s">
        <v>1060</v>
      </c>
      <c r="C72" s="54">
        <v>1.036</v>
      </c>
      <c r="D72" s="54" t="s">
        <v>232</v>
      </c>
      <c r="E72" t="s">
        <v>342</v>
      </c>
    </row>
    <row r="73" spans="1:5" x14ac:dyDescent="0.25">
      <c r="A73" t="s">
        <v>341</v>
      </c>
      <c r="B73" s="56" t="s">
        <v>92</v>
      </c>
      <c r="C73" s="54">
        <v>1.0429999999999999</v>
      </c>
      <c r="D73" s="54" t="s">
        <v>344</v>
      </c>
      <c r="E73" t="s">
        <v>345</v>
      </c>
    </row>
    <row r="74" spans="1:5" x14ac:dyDescent="0.25">
      <c r="A74" t="s">
        <v>343</v>
      </c>
      <c r="B74" s="56" t="s">
        <v>1060</v>
      </c>
      <c r="C74" s="54">
        <v>1.0089999999999999</v>
      </c>
      <c r="D74" s="54" t="s">
        <v>174</v>
      </c>
      <c r="E74" t="s">
        <v>347</v>
      </c>
    </row>
    <row r="75" spans="1:5" x14ac:dyDescent="0.25">
      <c r="A75" t="s">
        <v>346</v>
      </c>
      <c r="B75" s="56" t="s">
        <v>1060</v>
      </c>
      <c r="C75" s="54">
        <v>1.03</v>
      </c>
      <c r="D75" s="54" t="s">
        <v>344</v>
      </c>
      <c r="E75" t="s">
        <v>349</v>
      </c>
    </row>
    <row r="76" spans="1:5" x14ac:dyDescent="0.25">
      <c r="A76" t="s">
        <v>348</v>
      </c>
      <c r="B76" s="56" t="s">
        <v>92</v>
      </c>
      <c r="C76" s="54">
        <v>1.038</v>
      </c>
      <c r="D76" s="54" t="s">
        <v>211</v>
      </c>
      <c r="E76" t="s">
        <v>351</v>
      </c>
    </row>
    <row r="77" spans="1:5" x14ac:dyDescent="0.25">
      <c r="A77" t="s">
        <v>350</v>
      </c>
      <c r="B77" s="56" t="s">
        <v>92</v>
      </c>
      <c r="C77" s="54">
        <v>1.0369999999999999</v>
      </c>
      <c r="D77" s="54" t="s">
        <v>353</v>
      </c>
      <c r="E77" t="s">
        <v>354</v>
      </c>
    </row>
    <row r="78" spans="1:5" x14ac:dyDescent="0.25">
      <c r="A78" t="s">
        <v>352</v>
      </c>
      <c r="B78" s="56" t="s">
        <v>92</v>
      </c>
      <c r="C78" s="54">
        <v>1.0369999999999999</v>
      </c>
      <c r="D78" s="54" t="s">
        <v>281</v>
      </c>
      <c r="E78" t="s">
        <v>356</v>
      </c>
    </row>
    <row r="79" spans="1:5" x14ac:dyDescent="0.25">
      <c r="A79" t="s">
        <v>355</v>
      </c>
      <c r="B79" s="56" t="s">
        <v>1060</v>
      </c>
      <c r="C79" s="54">
        <v>1.036</v>
      </c>
      <c r="D79" s="54" t="s">
        <v>271</v>
      </c>
      <c r="E79" t="s">
        <v>358</v>
      </c>
    </row>
    <row r="80" spans="1:5" x14ac:dyDescent="0.25">
      <c r="A80" t="s">
        <v>357</v>
      </c>
      <c r="B80" s="56" t="s">
        <v>92</v>
      </c>
      <c r="C80" s="54">
        <v>1.034</v>
      </c>
      <c r="D80" s="54" t="s">
        <v>360</v>
      </c>
      <c r="E80" t="s">
        <v>361</v>
      </c>
    </row>
    <row r="81" spans="1:5" x14ac:dyDescent="0.25">
      <c r="A81" t="s">
        <v>359</v>
      </c>
      <c r="B81" s="56" t="s">
        <v>92</v>
      </c>
      <c r="C81" s="54">
        <v>1.034</v>
      </c>
      <c r="D81" s="54" t="s">
        <v>363</v>
      </c>
      <c r="E81" t="s">
        <v>364</v>
      </c>
    </row>
    <row r="82" spans="1:5" x14ac:dyDescent="0.25">
      <c r="A82" t="s">
        <v>362</v>
      </c>
      <c r="B82" s="56" t="s">
        <v>92</v>
      </c>
      <c r="C82" s="54">
        <v>1.038</v>
      </c>
      <c r="D82" s="54" t="s">
        <v>366</v>
      </c>
      <c r="E82" t="s">
        <v>367</v>
      </c>
    </row>
    <row r="83" spans="1:5" x14ac:dyDescent="0.25">
      <c r="A83" t="s">
        <v>365</v>
      </c>
      <c r="B83" s="56" t="s">
        <v>92</v>
      </c>
      <c r="C83" s="54">
        <v>1.034</v>
      </c>
      <c r="D83" s="54" t="s">
        <v>368</v>
      </c>
      <c r="E83" t="s">
        <v>369</v>
      </c>
    </row>
    <row r="84" spans="1:5" x14ac:dyDescent="0.25">
      <c r="A84" s="24" t="s">
        <v>1065</v>
      </c>
      <c r="B84" s="56" t="s">
        <v>92</v>
      </c>
      <c r="C84" s="54">
        <v>1.0375000000000001</v>
      </c>
      <c r="D84" s="54" t="s">
        <v>368</v>
      </c>
      <c r="E84" t="s">
        <v>370</v>
      </c>
    </row>
    <row r="85" spans="1:5" x14ac:dyDescent="0.25">
      <c r="A85" s="24" t="s">
        <v>1066</v>
      </c>
      <c r="B85" s="56" t="s">
        <v>92</v>
      </c>
      <c r="C85" s="54">
        <v>1.0349999999999999</v>
      </c>
      <c r="D85" s="54" t="s">
        <v>372</v>
      </c>
      <c r="E85" t="s">
        <v>373</v>
      </c>
    </row>
    <row r="86" spans="1:5" x14ac:dyDescent="0.25">
      <c r="A86" t="s">
        <v>371</v>
      </c>
      <c r="B86" s="56" t="s">
        <v>92</v>
      </c>
      <c r="C86" s="54">
        <v>1.038</v>
      </c>
      <c r="D86" s="54" t="s">
        <v>375</v>
      </c>
      <c r="E86" t="s">
        <v>376</v>
      </c>
    </row>
    <row r="87" spans="1:5" x14ac:dyDescent="0.25">
      <c r="A87" t="s">
        <v>374</v>
      </c>
      <c r="B87" s="56" t="s">
        <v>92</v>
      </c>
      <c r="C87" s="54">
        <v>1.034</v>
      </c>
      <c r="D87" s="54" t="s">
        <v>296</v>
      </c>
      <c r="E87" t="s">
        <v>378</v>
      </c>
    </row>
    <row r="88" spans="1:5" x14ac:dyDescent="0.25">
      <c r="A88" t="s">
        <v>377</v>
      </c>
      <c r="B88" s="56" t="s">
        <v>92</v>
      </c>
      <c r="C88" s="54">
        <v>1.0369999999999999</v>
      </c>
      <c r="D88" s="54" t="s">
        <v>380</v>
      </c>
      <c r="E88" t="s">
        <v>381</v>
      </c>
    </row>
    <row r="89" spans="1:5" x14ac:dyDescent="0.25">
      <c r="A89" t="s">
        <v>379</v>
      </c>
      <c r="B89" s="56" t="s">
        <v>92</v>
      </c>
      <c r="C89" s="54">
        <v>1.0369999999999999</v>
      </c>
      <c r="D89" s="54" t="s">
        <v>339</v>
      </c>
      <c r="E89" t="s">
        <v>383</v>
      </c>
    </row>
    <row r="90" spans="1:5" x14ac:dyDescent="0.25">
      <c r="A90" s="24" t="s">
        <v>1553</v>
      </c>
      <c r="B90" s="140" t="s">
        <v>92</v>
      </c>
      <c r="C90" s="142">
        <v>1.036</v>
      </c>
      <c r="D90" s="142" t="s">
        <v>1552</v>
      </c>
      <c r="E90" t="s">
        <v>1551</v>
      </c>
    </row>
    <row r="91" spans="1:5" x14ac:dyDescent="0.25">
      <c r="A91" s="24" t="s">
        <v>382</v>
      </c>
      <c r="B91" s="56" t="s">
        <v>92</v>
      </c>
      <c r="C91" s="54">
        <v>1.04</v>
      </c>
      <c r="D91" s="54" t="s">
        <v>384</v>
      </c>
      <c r="E91" t="s">
        <v>385</v>
      </c>
    </row>
    <row r="92" spans="1:5" x14ac:dyDescent="0.25">
      <c r="A92" t="s">
        <v>1032</v>
      </c>
      <c r="B92" s="56" t="s">
        <v>92</v>
      </c>
      <c r="C92" s="54">
        <v>1.0249999999999999</v>
      </c>
      <c r="D92" s="54" t="s">
        <v>193</v>
      </c>
      <c r="E92" t="s">
        <v>386</v>
      </c>
    </row>
    <row r="93" spans="1:5" x14ac:dyDescent="0.25">
      <c r="A93" t="s">
        <v>1033</v>
      </c>
      <c r="B93" s="56" t="s">
        <v>92</v>
      </c>
      <c r="C93" s="54">
        <v>1.0249999999999999</v>
      </c>
      <c r="D93" s="54" t="s">
        <v>249</v>
      </c>
      <c r="E93" t="s">
        <v>388</v>
      </c>
    </row>
    <row r="94" spans="1:5" x14ac:dyDescent="0.25">
      <c r="A94" t="s">
        <v>387</v>
      </c>
      <c r="B94" s="56" t="s">
        <v>92</v>
      </c>
      <c r="C94" s="54">
        <v>1.036</v>
      </c>
      <c r="D94" s="54" t="s">
        <v>390</v>
      </c>
      <c r="E94" t="s">
        <v>391</v>
      </c>
    </row>
    <row r="95" spans="1:5" x14ac:dyDescent="0.25">
      <c r="A95" t="s">
        <v>389</v>
      </c>
      <c r="B95" s="56" t="s">
        <v>92</v>
      </c>
      <c r="C95" s="54">
        <v>1.0289999999999999</v>
      </c>
      <c r="D95" s="54" t="s">
        <v>393</v>
      </c>
      <c r="E95" t="s">
        <v>394</v>
      </c>
    </row>
    <row r="96" spans="1:5" x14ac:dyDescent="0.25">
      <c r="A96" t="s">
        <v>392</v>
      </c>
      <c r="B96" s="56" t="s">
        <v>92</v>
      </c>
      <c r="C96" s="54">
        <v>1.038</v>
      </c>
      <c r="D96" s="54" t="s">
        <v>396</v>
      </c>
      <c r="E96" t="s">
        <v>397</v>
      </c>
    </row>
    <row r="97" spans="1:5" x14ac:dyDescent="0.25">
      <c r="A97" t="s">
        <v>395</v>
      </c>
      <c r="B97" s="56" t="s">
        <v>92</v>
      </c>
      <c r="C97" s="54">
        <v>1.03</v>
      </c>
      <c r="D97" s="54" t="s">
        <v>399</v>
      </c>
      <c r="E97" t="s">
        <v>400</v>
      </c>
    </row>
    <row r="98" spans="1:5" x14ac:dyDescent="0.25">
      <c r="A98" t="s">
        <v>398</v>
      </c>
      <c r="B98" s="56" t="s">
        <v>92</v>
      </c>
      <c r="C98" s="54">
        <v>1.0349999999999999</v>
      </c>
      <c r="D98" s="54" t="s">
        <v>232</v>
      </c>
      <c r="E98" t="s">
        <v>402</v>
      </c>
    </row>
    <row r="99" spans="1:5" x14ac:dyDescent="0.25">
      <c r="A99" t="s">
        <v>401</v>
      </c>
      <c r="B99" s="56" t="s">
        <v>1060</v>
      </c>
      <c r="C99" s="54">
        <v>1.046</v>
      </c>
      <c r="D99" s="54" t="s">
        <v>301</v>
      </c>
      <c r="E99" t="s">
        <v>403</v>
      </c>
    </row>
    <row r="100" spans="1:5" x14ac:dyDescent="0.25">
      <c r="A100" t="s">
        <v>404</v>
      </c>
      <c r="B100" s="56" t="s">
        <v>92</v>
      </c>
      <c r="C100" s="54">
        <v>1.038</v>
      </c>
      <c r="D100" s="54" t="s">
        <v>318</v>
      </c>
      <c r="E100" t="s">
        <v>405</v>
      </c>
    </row>
    <row r="101" spans="1:5" x14ac:dyDescent="0.25">
      <c r="A101" t="s">
        <v>406</v>
      </c>
      <c r="B101" s="56" t="s">
        <v>92</v>
      </c>
      <c r="C101" s="54">
        <v>1.036</v>
      </c>
      <c r="D101" s="54" t="s">
        <v>321</v>
      </c>
      <c r="E101" t="s">
        <v>407</v>
      </c>
    </row>
    <row r="102" spans="1:5" x14ac:dyDescent="0.25">
      <c r="A102" t="s">
        <v>408</v>
      </c>
      <c r="B102" s="56" t="s">
        <v>1060</v>
      </c>
      <c r="C102" s="54">
        <v>1.036</v>
      </c>
      <c r="D102" s="54" t="s">
        <v>409</v>
      </c>
      <c r="E102" t="s">
        <v>410</v>
      </c>
    </row>
    <row r="103" spans="1:5" x14ac:dyDescent="0.25">
      <c r="A103" t="s">
        <v>411</v>
      </c>
      <c r="B103" s="56" t="s">
        <v>92</v>
      </c>
      <c r="C103" s="54">
        <v>1.034</v>
      </c>
      <c r="D103" s="54" t="s">
        <v>318</v>
      </c>
      <c r="E103" t="s">
        <v>412</v>
      </c>
    </row>
    <row r="104" spans="1:5" x14ac:dyDescent="0.25">
      <c r="A104" t="s">
        <v>413</v>
      </c>
      <c r="B104" s="56" t="s">
        <v>92</v>
      </c>
      <c r="C104" s="54">
        <v>1.0349999999999999</v>
      </c>
      <c r="D104" s="56" t="s">
        <v>1063</v>
      </c>
      <c r="E104" s="24" t="s">
        <v>1062</v>
      </c>
    </row>
    <row r="105" spans="1:5" x14ac:dyDescent="0.25">
      <c r="A105" t="s">
        <v>414</v>
      </c>
      <c r="B105" s="56" t="s">
        <v>92</v>
      </c>
      <c r="C105" s="54">
        <v>1.038</v>
      </c>
      <c r="D105" s="54" t="s">
        <v>310</v>
      </c>
      <c r="E105" t="s">
        <v>1031</v>
      </c>
    </row>
    <row r="106" spans="1:5" x14ac:dyDescent="0.25">
      <c r="A106" t="s">
        <v>415</v>
      </c>
      <c r="B106" s="56" t="s">
        <v>92</v>
      </c>
      <c r="C106" s="54">
        <v>1.0389999999999999</v>
      </c>
      <c r="D106" s="54" t="s">
        <v>416</v>
      </c>
    </row>
    <row r="107" spans="1:5" x14ac:dyDescent="0.25">
      <c r="A107" t="s">
        <v>417</v>
      </c>
      <c r="B107" s="56" t="s">
        <v>92</v>
      </c>
      <c r="C107" s="54">
        <v>1.0389999999999999</v>
      </c>
      <c r="D107" s="54" t="s">
        <v>418</v>
      </c>
      <c r="E107" t="s">
        <v>419</v>
      </c>
    </row>
    <row r="108" spans="1:5" x14ac:dyDescent="0.25">
      <c r="A108" t="s">
        <v>420</v>
      </c>
      <c r="B108" s="56" t="s">
        <v>92</v>
      </c>
      <c r="C108" s="54">
        <v>1.0369999999999999</v>
      </c>
      <c r="D108" s="54" t="s">
        <v>310</v>
      </c>
      <c r="E108" t="s">
        <v>421</v>
      </c>
    </row>
  </sheetData>
  <sheetProtection sheet="1" objects="1" scenarios="1"/>
  <sortState ref="A1:AC112">
    <sortCondition ref="A1:A112"/>
  </sortState>
  <dataValidations count="1">
    <dataValidation type="list" showInputMessage="1" showErrorMessage="1" sqref="B2:B108">
      <formula1>"Grain,Sugar"</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workbookViewId="0">
      <selection activeCell="D37" sqref="D37"/>
    </sheetView>
  </sheetViews>
  <sheetFormatPr defaultRowHeight="13.2" x14ac:dyDescent="0.25"/>
  <cols>
    <col min="1" max="1" width="25.109375" bestFit="1" customWidth="1"/>
    <col min="2" max="2" width="12" bestFit="1" customWidth="1"/>
    <col min="3" max="3" width="48.33203125" bestFit="1" customWidth="1"/>
    <col min="4" max="4" width="218.109375" bestFit="1" customWidth="1"/>
  </cols>
  <sheetData>
    <row r="1" spans="1:4" x14ac:dyDescent="0.25">
      <c r="A1" s="59" t="s">
        <v>145</v>
      </c>
      <c r="B1" s="59" t="s">
        <v>1068</v>
      </c>
      <c r="C1" s="59" t="s">
        <v>1069</v>
      </c>
      <c r="D1" s="59" t="s">
        <v>422</v>
      </c>
    </row>
    <row r="2" spans="1:4" x14ac:dyDescent="0.25">
      <c r="A2" t="s">
        <v>423</v>
      </c>
      <c r="B2" t="s">
        <v>424</v>
      </c>
      <c r="C2" t="s">
        <v>425</v>
      </c>
      <c r="D2" t="s">
        <v>426</v>
      </c>
    </row>
    <row r="3" spans="1:4" x14ac:dyDescent="0.25">
      <c r="A3" t="s">
        <v>1070</v>
      </c>
      <c r="B3" t="s">
        <v>427</v>
      </c>
      <c r="C3" t="s">
        <v>428</v>
      </c>
      <c r="D3" t="s">
        <v>429</v>
      </c>
    </row>
    <row r="4" spans="1:4" x14ac:dyDescent="0.25">
      <c r="A4" t="s">
        <v>1071</v>
      </c>
      <c r="B4" t="s">
        <v>431</v>
      </c>
      <c r="C4" t="s">
        <v>432</v>
      </c>
      <c r="D4" t="s">
        <v>433</v>
      </c>
    </row>
    <row r="5" spans="1:4" x14ac:dyDescent="0.25">
      <c r="A5" t="s">
        <v>434</v>
      </c>
      <c r="B5" t="s">
        <v>435</v>
      </c>
      <c r="C5" t="s">
        <v>436</v>
      </c>
      <c r="D5" t="s">
        <v>437</v>
      </c>
    </row>
    <row r="6" spans="1:4" x14ac:dyDescent="0.25">
      <c r="A6" t="s">
        <v>1207</v>
      </c>
      <c r="B6" t="s">
        <v>462</v>
      </c>
      <c r="C6" t="s">
        <v>551</v>
      </c>
    </row>
    <row r="7" spans="1:4" x14ac:dyDescent="0.25">
      <c r="A7" t="s">
        <v>1072</v>
      </c>
      <c r="B7" t="s">
        <v>1073</v>
      </c>
      <c r="D7" t="s">
        <v>1074</v>
      </c>
    </row>
    <row r="8" spans="1:4" x14ac:dyDescent="0.25">
      <c r="A8" t="s">
        <v>1174</v>
      </c>
      <c r="B8" s="62">
        <v>0.121</v>
      </c>
      <c r="D8" t="s">
        <v>1175</v>
      </c>
    </row>
    <row r="9" spans="1:4" x14ac:dyDescent="0.25">
      <c r="A9" t="s">
        <v>1075</v>
      </c>
      <c r="B9" t="s">
        <v>431</v>
      </c>
      <c r="D9" t="s">
        <v>1076</v>
      </c>
    </row>
    <row r="10" spans="1:4" x14ac:dyDescent="0.25">
      <c r="A10" t="s">
        <v>1183</v>
      </c>
      <c r="B10" t="s">
        <v>1184</v>
      </c>
      <c r="C10" t="s">
        <v>1127</v>
      </c>
    </row>
    <row r="11" spans="1:4" x14ac:dyDescent="0.25">
      <c r="A11" t="s">
        <v>438</v>
      </c>
      <c r="B11" t="s">
        <v>439</v>
      </c>
      <c r="C11" t="s">
        <v>440</v>
      </c>
      <c r="D11" t="s">
        <v>441</v>
      </c>
    </row>
    <row r="12" spans="1:4" x14ac:dyDescent="0.25">
      <c r="A12" t="s">
        <v>442</v>
      </c>
      <c r="B12" t="s">
        <v>443</v>
      </c>
      <c r="C12" t="s">
        <v>444</v>
      </c>
    </row>
    <row r="13" spans="1:4" x14ac:dyDescent="0.25">
      <c r="A13" t="s">
        <v>445</v>
      </c>
      <c r="B13" t="s">
        <v>446</v>
      </c>
      <c r="C13" t="s">
        <v>447</v>
      </c>
      <c r="D13" t="s">
        <v>448</v>
      </c>
    </row>
    <row r="14" spans="1:4" x14ac:dyDescent="0.25">
      <c r="A14" t="s">
        <v>449</v>
      </c>
      <c r="B14" t="s">
        <v>450</v>
      </c>
      <c r="C14" t="s">
        <v>451</v>
      </c>
      <c r="D14" t="s">
        <v>452</v>
      </c>
    </row>
    <row r="15" spans="1:4" x14ac:dyDescent="0.25">
      <c r="A15" t="s">
        <v>453</v>
      </c>
      <c r="B15" t="s">
        <v>454</v>
      </c>
      <c r="C15" t="s">
        <v>455</v>
      </c>
      <c r="D15" t="s">
        <v>456</v>
      </c>
    </row>
    <row r="16" spans="1:4" x14ac:dyDescent="0.25">
      <c r="A16" t="s">
        <v>1176</v>
      </c>
      <c r="B16" t="s">
        <v>558</v>
      </c>
      <c r="D16" t="s">
        <v>1177</v>
      </c>
    </row>
    <row r="17" spans="1:4" x14ac:dyDescent="0.25">
      <c r="A17" t="s">
        <v>457</v>
      </c>
      <c r="B17" t="s">
        <v>458</v>
      </c>
      <c r="C17" t="s">
        <v>459</v>
      </c>
      <c r="D17" t="s">
        <v>460</v>
      </c>
    </row>
    <row r="18" spans="1:4" x14ac:dyDescent="0.25">
      <c r="A18" t="s">
        <v>461</v>
      </c>
      <c r="B18" t="s">
        <v>462</v>
      </c>
      <c r="C18" t="s">
        <v>463</v>
      </c>
      <c r="D18" t="s">
        <v>464</v>
      </c>
    </row>
    <row r="19" spans="1:4" x14ac:dyDescent="0.25">
      <c r="A19" t="s">
        <v>465</v>
      </c>
      <c r="B19" t="s">
        <v>466</v>
      </c>
      <c r="C19" t="s">
        <v>467</v>
      </c>
      <c r="D19" t="s">
        <v>468</v>
      </c>
    </row>
    <row r="20" spans="1:4" x14ac:dyDescent="0.25">
      <c r="A20" t="s">
        <v>1077</v>
      </c>
      <c r="B20" t="s">
        <v>1078</v>
      </c>
      <c r="D20" t="s">
        <v>1079</v>
      </c>
    </row>
    <row r="21" spans="1:4" x14ac:dyDescent="0.25">
      <c r="A21" t="s">
        <v>1152</v>
      </c>
      <c r="B21" t="s">
        <v>546</v>
      </c>
      <c r="C21" t="s">
        <v>1111</v>
      </c>
      <c r="D21" t="s">
        <v>1153</v>
      </c>
    </row>
    <row r="22" spans="1:4" x14ac:dyDescent="0.25">
      <c r="A22" t="s">
        <v>469</v>
      </c>
      <c r="B22" t="s">
        <v>470</v>
      </c>
      <c r="C22" t="s">
        <v>471</v>
      </c>
      <c r="D22" t="s">
        <v>472</v>
      </c>
    </row>
    <row r="23" spans="1:4" x14ac:dyDescent="0.25">
      <c r="A23" t="s">
        <v>473</v>
      </c>
      <c r="B23" t="s">
        <v>474</v>
      </c>
      <c r="C23" t="s">
        <v>475</v>
      </c>
      <c r="D23" t="s">
        <v>476</v>
      </c>
    </row>
    <row r="24" spans="1:4" x14ac:dyDescent="0.25">
      <c r="A24" t="s">
        <v>477</v>
      </c>
      <c r="B24" t="s">
        <v>478</v>
      </c>
      <c r="C24" t="s">
        <v>479</v>
      </c>
      <c r="D24" t="s">
        <v>480</v>
      </c>
    </row>
    <row r="25" spans="1:4" x14ac:dyDescent="0.25">
      <c r="A25" t="s">
        <v>1080</v>
      </c>
      <c r="B25" t="s">
        <v>536</v>
      </c>
      <c r="D25" t="s">
        <v>1081</v>
      </c>
    </row>
    <row r="26" spans="1:4" x14ac:dyDescent="0.25">
      <c r="A26" t="s">
        <v>481</v>
      </c>
      <c r="B26" t="s">
        <v>482</v>
      </c>
      <c r="C26" t="s">
        <v>483</v>
      </c>
      <c r="D26" t="s">
        <v>484</v>
      </c>
    </row>
    <row r="27" spans="1:4" x14ac:dyDescent="0.25">
      <c r="A27" t="s">
        <v>485</v>
      </c>
      <c r="B27" t="s">
        <v>486</v>
      </c>
      <c r="C27" t="s">
        <v>487</v>
      </c>
      <c r="D27" t="s">
        <v>488</v>
      </c>
    </row>
    <row r="28" spans="1:4" x14ac:dyDescent="0.25">
      <c r="A28" t="s">
        <v>1082</v>
      </c>
      <c r="B28" t="s">
        <v>1083</v>
      </c>
      <c r="D28" t="s">
        <v>1084</v>
      </c>
    </row>
    <row r="29" spans="1:4" x14ac:dyDescent="0.25">
      <c r="A29" t="s">
        <v>1154</v>
      </c>
      <c r="B29" t="s">
        <v>1155</v>
      </c>
      <c r="C29" t="s">
        <v>1156</v>
      </c>
      <c r="D29" t="s">
        <v>1157</v>
      </c>
    </row>
    <row r="30" spans="1:4" x14ac:dyDescent="0.25">
      <c r="A30" t="s">
        <v>1085</v>
      </c>
      <c r="B30" t="s">
        <v>1073</v>
      </c>
      <c r="D30" t="s">
        <v>1086</v>
      </c>
    </row>
    <row r="31" spans="1:4" x14ac:dyDescent="0.25">
      <c r="A31" t="s">
        <v>1158</v>
      </c>
      <c r="B31" t="s">
        <v>1159</v>
      </c>
      <c r="D31" t="s">
        <v>1160</v>
      </c>
    </row>
    <row r="32" spans="1:4" x14ac:dyDescent="0.25">
      <c r="A32" t="s">
        <v>489</v>
      </c>
      <c r="B32" t="s">
        <v>490</v>
      </c>
      <c r="C32" t="s">
        <v>491</v>
      </c>
      <c r="D32" t="s">
        <v>492</v>
      </c>
    </row>
    <row r="33" spans="1:4" x14ac:dyDescent="0.25">
      <c r="A33" t="s">
        <v>1087</v>
      </c>
      <c r="B33" t="s">
        <v>1088</v>
      </c>
      <c r="C33" t="s">
        <v>633</v>
      </c>
      <c r="D33" t="s">
        <v>1089</v>
      </c>
    </row>
    <row r="34" spans="1:4" x14ac:dyDescent="0.25">
      <c r="A34" t="s">
        <v>493</v>
      </c>
      <c r="B34" t="s">
        <v>474</v>
      </c>
      <c r="C34" t="s">
        <v>494</v>
      </c>
      <c r="D34" t="s">
        <v>495</v>
      </c>
    </row>
    <row r="35" spans="1:4" x14ac:dyDescent="0.25">
      <c r="A35" t="s">
        <v>496</v>
      </c>
      <c r="B35" t="s">
        <v>497</v>
      </c>
      <c r="C35" t="s">
        <v>498</v>
      </c>
      <c r="D35" t="s">
        <v>499</v>
      </c>
    </row>
    <row r="36" spans="1:4" x14ac:dyDescent="0.25">
      <c r="A36" t="s">
        <v>500</v>
      </c>
      <c r="B36" t="s">
        <v>497</v>
      </c>
      <c r="C36" t="s">
        <v>501</v>
      </c>
      <c r="D36" t="s">
        <v>502</v>
      </c>
    </row>
    <row r="37" spans="1:4" x14ac:dyDescent="0.25">
      <c r="A37" t="s">
        <v>1090</v>
      </c>
      <c r="B37" t="s">
        <v>486</v>
      </c>
      <c r="D37" t="s">
        <v>1091</v>
      </c>
    </row>
    <row r="38" spans="1:4" x14ac:dyDescent="0.25">
      <c r="A38" t="s">
        <v>483</v>
      </c>
      <c r="B38" t="s">
        <v>478</v>
      </c>
      <c r="C38" t="s">
        <v>503</v>
      </c>
      <c r="D38" t="s">
        <v>504</v>
      </c>
    </row>
    <row r="39" spans="1:4" x14ac:dyDescent="0.25">
      <c r="A39" t="s">
        <v>505</v>
      </c>
      <c r="B39" t="s">
        <v>506</v>
      </c>
      <c r="C39" t="s">
        <v>507</v>
      </c>
      <c r="D39" t="s">
        <v>508</v>
      </c>
    </row>
    <row r="40" spans="1:4" x14ac:dyDescent="0.25">
      <c r="A40" t="s">
        <v>509</v>
      </c>
      <c r="B40" t="s">
        <v>510</v>
      </c>
      <c r="C40" t="s">
        <v>511</v>
      </c>
      <c r="D40" t="s">
        <v>512</v>
      </c>
    </row>
    <row r="41" spans="1:4" x14ac:dyDescent="0.25">
      <c r="A41" t="s">
        <v>513</v>
      </c>
      <c r="B41" t="s">
        <v>514</v>
      </c>
      <c r="C41" t="s">
        <v>515</v>
      </c>
      <c r="D41" t="s">
        <v>516</v>
      </c>
    </row>
    <row r="42" spans="1:4" x14ac:dyDescent="0.25">
      <c r="A42" t="s">
        <v>517</v>
      </c>
      <c r="B42" t="s">
        <v>474</v>
      </c>
      <c r="C42" t="s">
        <v>518</v>
      </c>
      <c r="D42" t="s">
        <v>519</v>
      </c>
    </row>
    <row r="43" spans="1:4" x14ac:dyDescent="0.25">
      <c r="A43" t="s">
        <v>1178</v>
      </c>
      <c r="B43" t="s">
        <v>490</v>
      </c>
      <c r="D43" t="s">
        <v>1179</v>
      </c>
    </row>
    <row r="44" spans="1:4" x14ac:dyDescent="0.25">
      <c r="A44" t="s">
        <v>520</v>
      </c>
      <c r="B44" t="s">
        <v>521</v>
      </c>
      <c r="C44" t="s">
        <v>522</v>
      </c>
      <c r="D44" t="s">
        <v>523</v>
      </c>
    </row>
    <row r="45" spans="1:4" x14ac:dyDescent="0.25">
      <c r="A45" t="s">
        <v>524</v>
      </c>
      <c r="B45" t="s">
        <v>525</v>
      </c>
      <c r="C45" t="s">
        <v>526</v>
      </c>
      <c r="D45" t="s">
        <v>527</v>
      </c>
    </row>
    <row r="46" spans="1:4" x14ac:dyDescent="0.25">
      <c r="A46" t="s">
        <v>528</v>
      </c>
      <c r="B46" t="s">
        <v>529</v>
      </c>
      <c r="C46" t="s">
        <v>530</v>
      </c>
      <c r="D46" t="s">
        <v>531</v>
      </c>
    </row>
    <row r="47" spans="1:4" x14ac:dyDescent="0.25">
      <c r="A47" t="s">
        <v>532</v>
      </c>
      <c r="B47" t="s">
        <v>521</v>
      </c>
      <c r="C47" t="s">
        <v>533</v>
      </c>
      <c r="D47" t="s">
        <v>534</v>
      </c>
    </row>
    <row r="48" spans="1:4" x14ac:dyDescent="0.25">
      <c r="A48" t="s">
        <v>535</v>
      </c>
      <c r="B48" t="s">
        <v>536</v>
      </c>
      <c r="D48" t="s">
        <v>537</v>
      </c>
    </row>
    <row r="49" spans="1:4" x14ac:dyDescent="0.25">
      <c r="A49" t="s">
        <v>1161</v>
      </c>
      <c r="B49" t="s">
        <v>1162</v>
      </c>
      <c r="D49" t="s">
        <v>1163</v>
      </c>
    </row>
    <row r="50" spans="1:4" x14ac:dyDescent="0.25">
      <c r="A50" t="s">
        <v>538</v>
      </c>
      <c r="B50" t="s">
        <v>529</v>
      </c>
      <c r="C50" t="s">
        <v>539</v>
      </c>
      <c r="D50" t="s">
        <v>540</v>
      </c>
    </row>
    <row r="51" spans="1:4" x14ac:dyDescent="0.25">
      <c r="A51" t="s">
        <v>541</v>
      </c>
      <c r="B51" t="s">
        <v>514</v>
      </c>
      <c r="C51" t="s">
        <v>549</v>
      </c>
      <c r="D51" t="s">
        <v>1092</v>
      </c>
    </row>
    <row r="52" spans="1:4" x14ac:dyDescent="0.25">
      <c r="A52" t="s">
        <v>1188</v>
      </c>
      <c r="B52" t="s">
        <v>1189</v>
      </c>
      <c r="D52" t="s">
        <v>1190</v>
      </c>
    </row>
    <row r="53" spans="1:4" x14ac:dyDescent="0.25">
      <c r="A53" t="s">
        <v>1093</v>
      </c>
      <c r="B53" t="s">
        <v>1094</v>
      </c>
      <c r="D53" t="s">
        <v>1095</v>
      </c>
    </row>
    <row r="54" spans="1:4" x14ac:dyDescent="0.25">
      <c r="A54" t="s">
        <v>1096</v>
      </c>
      <c r="B54" t="s">
        <v>685</v>
      </c>
      <c r="D54" t="s">
        <v>1097</v>
      </c>
    </row>
    <row r="55" spans="1:4" x14ac:dyDescent="0.25">
      <c r="A55" t="s">
        <v>542</v>
      </c>
      <c r="B55" t="s">
        <v>497</v>
      </c>
      <c r="C55" t="s">
        <v>543</v>
      </c>
      <c r="D55" t="s">
        <v>544</v>
      </c>
    </row>
    <row r="56" spans="1:4" x14ac:dyDescent="0.25">
      <c r="A56" t="s">
        <v>1098</v>
      </c>
      <c r="B56" s="61">
        <v>0.03</v>
      </c>
      <c r="D56" t="s">
        <v>1099</v>
      </c>
    </row>
    <row r="57" spans="1:4" x14ac:dyDescent="0.25">
      <c r="A57" t="s">
        <v>1100</v>
      </c>
      <c r="B57" t="s">
        <v>232</v>
      </c>
      <c r="D57" t="s">
        <v>1101</v>
      </c>
    </row>
    <row r="58" spans="1:4" x14ac:dyDescent="0.25">
      <c r="A58" t="s">
        <v>1102</v>
      </c>
      <c r="B58" t="s">
        <v>439</v>
      </c>
      <c r="C58" t="s">
        <v>430</v>
      </c>
      <c r="D58" t="s">
        <v>1103</v>
      </c>
    </row>
    <row r="59" spans="1:4" x14ac:dyDescent="0.25">
      <c r="A59" t="s">
        <v>545</v>
      </c>
      <c r="B59" t="s">
        <v>546</v>
      </c>
      <c r="C59" t="s">
        <v>547</v>
      </c>
      <c r="D59" t="s">
        <v>548</v>
      </c>
    </row>
    <row r="60" spans="1:4" x14ac:dyDescent="0.25">
      <c r="A60" t="s">
        <v>1210</v>
      </c>
      <c r="B60" t="s">
        <v>617</v>
      </c>
      <c r="C60" t="s">
        <v>636</v>
      </c>
      <c r="D60" t="s">
        <v>1211</v>
      </c>
    </row>
    <row r="61" spans="1:4" x14ac:dyDescent="0.25">
      <c r="A61" t="s">
        <v>1104</v>
      </c>
      <c r="B61" t="s">
        <v>666</v>
      </c>
      <c r="C61" t="s">
        <v>1105</v>
      </c>
      <c r="D61" t="s">
        <v>552</v>
      </c>
    </row>
    <row r="62" spans="1:4" x14ac:dyDescent="0.25">
      <c r="A62" t="s">
        <v>1106</v>
      </c>
      <c r="B62" t="s">
        <v>478</v>
      </c>
      <c r="C62" t="s">
        <v>1105</v>
      </c>
      <c r="D62" t="s">
        <v>1107</v>
      </c>
    </row>
    <row r="63" spans="1:4" x14ac:dyDescent="0.25">
      <c r="A63" t="s">
        <v>1180</v>
      </c>
      <c r="B63" t="s">
        <v>450</v>
      </c>
      <c r="C63" t="s">
        <v>1181</v>
      </c>
      <c r="D63" t="s">
        <v>1182</v>
      </c>
    </row>
    <row r="64" spans="1:4" x14ac:dyDescent="0.25">
      <c r="A64" t="s">
        <v>1208</v>
      </c>
      <c r="B64" t="s">
        <v>490</v>
      </c>
      <c r="D64" t="s">
        <v>1209</v>
      </c>
    </row>
    <row r="65" spans="1:4" x14ac:dyDescent="0.25">
      <c r="A65" t="s">
        <v>1164</v>
      </c>
      <c r="B65" t="s">
        <v>1094</v>
      </c>
      <c r="C65" t="s">
        <v>549</v>
      </c>
      <c r="D65" t="s">
        <v>1165</v>
      </c>
    </row>
    <row r="66" spans="1:4" x14ac:dyDescent="0.25">
      <c r="A66" t="s">
        <v>1166</v>
      </c>
      <c r="B66" t="s">
        <v>1094</v>
      </c>
      <c r="C66" t="s">
        <v>575</v>
      </c>
      <c r="D66" t="s">
        <v>1167</v>
      </c>
    </row>
    <row r="67" spans="1:4" x14ac:dyDescent="0.25">
      <c r="A67" t="s">
        <v>1217</v>
      </c>
      <c r="B67" t="s">
        <v>1218</v>
      </c>
      <c r="C67" t="s">
        <v>1219</v>
      </c>
      <c r="D67" t="s">
        <v>1220</v>
      </c>
    </row>
    <row r="68" spans="1:4" x14ac:dyDescent="0.25">
      <c r="A68" t="s">
        <v>1200</v>
      </c>
      <c r="B68" t="s">
        <v>1201</v>
      </c>
      <c r="C68" t="s">
        <v>1202</v>
      </c>
      <c r="D68" t="s">
        <v>1203</v>
      </c>
    </row>
    <row r="69" spans="1:4" x14ac:dyDescent="0.25">
      <c r="A69" t="s">
        <v>553</v>
      </c>
      <c r="B69" t="s">
        <v>554</v>
      </c>
      <c r="C69" t="s">
        <v>555</v>
      </c>
      <c r="D69" t="s">
        <v>556</v>
      </c>
    </row>
    <row r="70" spans="1:4" x14ac:dyDescent="0.25">
      <c r="A70" t="s">
        <v>1168</v>
      </c>
      <c r="B70" t="s">
        <v>1169</v>
      </c>
      <c r="C70" t="s">
        <v>1170</v>
      </c>
      <c r="D70" t="s">
        <v>1171</v>
      </c>
    </row>
    <row r="71" spans="1:4" x14ac:dyDescent="0.25">
      <c r="A71" t="s">
        <v>557</v>
      </c>
      <c r="B71" t="s">
        <v>558</v>
      </c>
      <c r="D71" t="s">
        <v>1108</v>
      </c>
    </row>
    <row r="72" spans="1:4" x14ac:dyDescent="0.25">
      <c r="A72" t="s">
        <v>559</v>
      </c>
      <c r="B72" t="s">
        <v>560</v>
      </c>
      <c r="C72" t="s">
        <v>561</v>
      </c>
      <c r="D72" t="s">
        <v>562</v>
      </c>
    </row>
    <row r="73" spans="1:4" x14ac:dyDescent="0.25">
      <c r="A73" t="s">
        <v>563</v>
      </c>
      <c r="B73" t="s">
        <v>564</v>
      </c>
      <c r="D73" t="s">
        <v>565</v>
      </c>
    </row>
    <row r="74" spans="1:4" x14ac:dyDescent="0.25">
      <c r="A74" t="s">
        <v>566</v>
      </c>
      <c r="B74" t="s">
        <v>450</v>
      </c>
      <c r="C74" t="s">
        <v>567</v>
      </c>
      <c r="D74" t="s">
        <v>568</v>
      </c>
    </row>
    <row r="75" spans="1:4" x14ac:dyDescent="0.25">
      <c r="A75" t="s">
        <v>569</v>
      </c>
      <c r="B75" t="s">
        <v>570</v>
      </c>
      <c r="C75" t="s">
        <v>571</v>
      </c>
      <c r="D75" t="s">
        <v>568</v>
      </c>
    </row>
    <row r="76" spans="1:4" x14ac:dyDescent="0.25">
      <c r="A76" t="s">
        <v>572</v>
      </c>
      <c r="B76" t="s">
        <v>573</v>
      </c>
      <c r="D76" t="s">
        <v>574</v>
      </c>
    </row>
    <row r="77" spans="1:4" x14ac:dyDescent="0.25">
      <c r="A77" t="s">
        <v>575</v>
      </c>
      <c r="B77" t="s">
        <v>576</v>
      </c>
      <c r="C77" t="s">
        <v>577</v>
      </c>
      <c r="D77" t="s">
        <v>578</v>
      </c>
    </row>
    <row r="78" spans="1:4" x14ac:dyDescent="0.25">
      <c r="A78" t="s">
        <v>579</v>
      </c>
      <c r="B78" t="s">
        <v>536</v>
      </c>
      <c r="C78" t="s">
        <v>477</v>
      </c>
      <c r="D78" t="s">
        <v>580</v>
      </c>
    </row>
    <row r="79" spans="1:4" x14ac:dyDescent="0.25">
      <c r="A79" t="s">
        <v>1109</v>
      </c>
      <c r="B79" t="s">
        <v>1110</v>
      </c>
      <c r="C79" t="s">
        <v>1111</v>
      </c>
      <c r="D79" t="s">
        <v>1112</v>
      </c>
    </row>
    <row r="80" spans="1:4" x14ac:dyDescent="0.25">
      <c r="A80" t="s">
        <v>1113</v>
      </c>
      <c r="B80" t="s">
        <v>232</v>
      </c>
      <c r="D80" t="s">
        <v>1114</v>
      </c>
    </row>
    <row r="81" spans="1:4" x14ac:dyDescent="0.25">
      <c r="A81" t="s">
        <v>581</v>
      </c>
      <c r="B81" t="s">
        <v>550</v>
      </c>
      <c r="C81" t="s">
        <v>483</v>
      </c>
      <c r="D81" t="s">
        <v>1115</v>
      </c>
    </row>
    <row r="82" spans="1:4" x14ac:dyDescent="0.25">
      <c r="A82" t="s">
        <v>582</v>
      </c>
      <c r="B82" t="s">
        <v>558</v>
      </c>
      <c r="D82" t="s">
        <v>583</v>
      </c>
    </row>
    <row r="83" spans="1:4" x14ac:dyDescent="0.25">
      <c r="A83" t="s">
        <v>584</v>
      </c>
      <c r="B83" t="s">
        <v>585</v>
      </c>
      <c r="C83" t="s">
        <v>586</v>
      </c>
      <c r="D83" t="s">
        <v>587</v>
      </c>
    </row>
    <row r="84" spans="1:4" x14ac:dyDescent="0.25">
      <c r="A84" t="s">
        <v>1116</v>
      </c>
      <c r="B84" t="s">
        <v>588</v>
      </c>
      <c r="C84" t="s">
        <v>589</v>
      </c>
      <c r="D84" t="s">
        <v>590</v>
      </c>
    </row>
    <row r="85" spans="1:4" x14ac:dyDescent="0.25">
      <c r="A85" t="s">
        <v>1117</v>
      </c>
      <c r="B85" t="s">
        <v>639</v>
      </c>
      <c r="C85" t="s">
        <v>654</v>
      </c>
      <c r="D85" t="s">
        <v>1118</v>
      </c>
    </row>
    <row r="86" spans="1:4" x14ac:dyDescent="0.25">
      <c r="A86" t="s">
        <v>591</v>
      </c>
      <c r="B86" t="s">
        <v>592</v>
      </c>
      <c r="C86" t="s">
        <v>593</v>
      </c>
      <c r="D86" t="s">
        <v>594</v>
      </c>
    </row>
    <row r="87" spans="1:4" x14ac:dyDescent="0.25">
      <c r="A87" t="s">
        <v>595</v>
      </c>
      <c r="B87" t="s">
        <v>596</v>
      </c>
      <c r="C87" t="s">
        <v>597</v>
      </c>
      <c r="D87" t="s">
        <v>598</v>
      </c>
    </row>
    <row r="88" spans="1:4" x14ac:dyDescent="0.25">
      <c r="A88" t="s">
        <v>599</v>
      </c>
      <c r="B88" t="s">
        <v>1120</v>
      </c>
      <c r="C88" t="s">
        <v>600</v>
      </c>
      <c r="D88" t="s">
        <v>1185</v>
      </c>
    </row>
    <row r="89" spans="1:4" x14ac:dyDescent="0.25">
      <c r="A89" t="s">
        <v>1119</v>
      </c>
      <c r="B89" t="s">
        <v>1120</v>
      </c>
      <c r="C89" t="s">
        <v>1121</v>
      </c>
      <c r="D89" t="s">
        <v>1122</v>
      </c>
    </row>
    <row r="90" spans="1:4" x14ac:dyDescent="0.25">
      <c r="A90" t="s">
        <v>601</v>
      </c>
      <c r="B90" t="s">
        <v>602</v>
      </c>
      <c r="C90" t="s">
        <v>603</v>
      </c>
      <c r="D90" t="s">
        <v>604</v>
      </c>
    </row>
    <row r="91" spans="1:4" x14ac:dyDescent="0.25">
      <c r="A91" t="s">
        <v>1191</v>
      </c>
      <c r="B91" t="s">
        <v>1192</v>
      </c>
      <c r="D91" t="s">
        <v>1193</v>
      </c>
    </row>
    <row r="92" spans="1:4" x14ac:dyDescent="0.25">
      <c r="A92" t="s">
        <v>1212</v>
      </c>
      <c r="B92" t="s">
        <v>1213</v>
      </c>
      <c r="D92" t="s">
        <v>1214</v>
      </c>
    </row>
    <row r="93" spans="1:4" x14ac:dyDescent="0.25">
      <c r="A93" t="s">
        <v>605</v>
      </c>
      <c r="B93" t="s">
        <v>450</v>
      </c>
      <c r="C93" t="s">
        <v>606</v>
      </c>
      <c r="D93" t="s">
        <v>607</v>
      </c>
    </row>
    <row r="94" spans="1:4" x14ac:dyDescent="0.25">
      <c r="A94" t="s">
        <v>608</v>
      </c>
      <c r="B94" t="s">
        <v>609</v>
      </c>
      <c r="C94" t="s">
        <v>610</v>
      </c>
      <c r="D94" t="s">
        <v>611</v>
      </c>
    </row>
    <row r="95" spans="1:4" x14ac:dyDescent="0.25">
      <c r="A95" t="s">
        <v>1123</v>
      </c>
      <c r="B95" t="s">
        <v>1083</v>
      </c>
      <c r="D95" t="s">
        <v>1124</v>
      </c>
    </row>
    <row r="96" spans="1:4" x14ac:dyDescent="0.25">
      <c r="A96" t="s">
        <v>612</v>
      </c>
      <c r="B96" t="s">
        <v>613</v>
      </c>
      <c r="C96" t="s">
        <v>614</v>
      </c>
      <c r="D96" t="s">
        <v>615</v>
      </c>
    </row>
    <row r="97" spans="1:4" x14ac:dyDescent="0.25">
      <c r="A97" t="s">
        <v>616</v>
      </c>
      <c r="B97" t="s">
        <v>617</v>
      </c>
      <c r="C97" t="s">
        <v>618</v>
      </c>
      <c r="D97" t="s">
        <v>619</v>
      </c>
    </row>
    <row r="98" spans="1:4" x14ac:dyDescent="0.25">
      <c r="A98" t="s">
        <v>620</v>
      </c>
      <c r="B98" t="s">
        <v>458</v>
      </c>
      <c r="C98" t="s">
        <v>621</v>
      </c>
      <c r="D98" t="s">
        <v>622</v>
      </c>
    </row>
    <row r="99" spans="1:4" x14ac:dyDescent="0.25">
      <c r="A99" t="s">
        <v>623</v>
      </c>
      <c r="B99" t="s">
        <v>624</v>
      </c>
      <c r="C99" t="s">
        <v>625</v>
      </c>
      <c r="D99" t="s">
        <v>626</v>
      </c>
    </row>
    <row r="100" spans="1:4" x14ac:dyDescent="0.25">
      <c r="A100" t="s">
        <v>627</v>
      </c>
      <c r="B100" t="s">
        <v>628</v>
      </c>
      <c r="C100" t="s">
        <v>459</v>
      </c>
      <c r="D100" t="s">
        <v>629</v>
      </c>
    </row>
    <row r="101" spans="1:4" x14ac:dyDescent="0.25">
      <c r="A101" t="s">
        <v>630</v>
      </c>
      <c r="B101" t="s">
        <v>631</v>
      </c>
      <c r="C101" t="s">
        <v>483</v>
      </c>
      <c r="D101" t="s">
        <v>632</v>
      </c>
    </row>
    <row r="102" spans="1:4" x14ac:dyDescent="0.25">
      <c r="A102" t="s">
        <v>1204</v>
      </c>
      <c r="B102" t="s">
        <v>510</v>
      </c>
      <c r="C102" t="s">
        <v>1205</v>
      </c>
      <c r="D102" t="s">
        <v>1206</v>
      </c>
    </row>
    <row r="103" spans="1:4" x14ac:dyDescent="0.25">
      <c r="A103" t="s">
        <v>1125</v>
      </c>
      <c r="B103" t="s">
        <v>558</v>
      </c>
      <c r="D103" t="s">
        <v>634</v>
      </c>
    </row>
    <row r="104" spans="1:4" x14ac:dyDescent="0.25">
      <c r="A104" t="s">
        <v>635</v>
      </c>
      <c r="B104" t="s">
        <v>585</v>
      </c>
      <c r="C104" t="s">
        <v>636</v>
      </c>
      <c r="D104" t="s">
        <v>637</v>
      </c>
    </row>
    <row r="105" spans="1:4" x14ac:dyDescent="0.25">
      <c r="A105" t="s">
        <v>1215</v>
      </c>
      <c r="B105" t="s">
        <v>510</v>
      </c>
      <c r="D105" t="s">
        <v>1216</v>
      </c>
    </row>
    <row r="106" spans="1:4" x14ac:dyDescent="0.25">
      <c r="A106" t="s">
        <v>638</v>
      </c>
      <c r="B106" t="s">
        <v>639</v>
      </c>
      <c r="D106" t="s">
        <v>640</v>
      </c>
    </row>
    <row r="107" spans="1:4" x14ac:dyDescent="0.25">
      <c r="A107" t="s">
        <v>641</v>
      </c>
      <c r="B107" t="s">
        <v>514</v>
      </c>
      <c r="D107" t="s">
        <v>642</v>
      </c>
    </row>
    <row r="108" spans="1:4" x14ac:dyDescent="0.25">
      <c r="A108" t="s">
        <v>1126</v>
      </c>
      <c r="B108" t="s">
        <v>585</v>
      </c>
      <c r="C108" t="s">
        <v>1127</v>
      </c>
      <c r="D108" t="s">
        <v>1128</v>
      </c>
    </row>
    <row r="109" spans="1:4" x14ac:dyDescent="0.25">
      <c r="A109" t="s">
        <v>643</v>
      </c>
      <c r="B109" t="s">
        <v>497</v>
      </c>
      <c r="C109" t="s">
        <v>644</v>
      </c>
      <c r="D109" t="s">
        <v>645</v>
      </c>
    </row>
    <row r="110" spans="1:4" x14ac:dyDescent="0.25">
      <c r="A110" t="s">
        <v>646</v>
      </c>
      <c r="B110" t="s">
        <v>510</v>
      </c>
      <c r="C110" t="s">
        <v>647</v>
      </c>
      <c r="D110" t="s">
        <v>648</v>
      </c>
    </row>
    <row r="111" spans="1:4" x14ac:dyDescent="0.25">
      <c r="A111" t="s">
        <v>649</v>
      </c>
      <c r="B111" t="s">
        <v>458</v>
      </c>
      <c r="C111" t="s">
        <v>650</v>
      </c>
      <c r="D111" t="s">
        <v>651</v>
      </c>
    </row>
    <row r="112" spans="1:4" x14ac:dyDescent="0.25">
      <c r="A112" t="s">
        <v>652</v>
      </c>
      <c r="B112" t="s">
        <v>653</v>
      </c>
      <c r="C112" t="s">
        <v>654</v>
      </c>
      <c r="D112" t="s">
        <v>655</v>
      </c>
    </row>
    <row r="113" spans="1:4" x14ac:dyDescent="0.25">
      <c r="A113" t="s">
        <v>656</v>
      </c>
      <c r="B113" t="s">
        <v>458</v>
      </c>
      <c r="C113" t="s">
        <v>657</v>
      </c>
      <c r="D113" t="s">
        <v>658</v>
      </c>
    </row>
    <row r="114" spans="1:4" x14ac:dyDescent="0.25">
      <c r="A114" t="s">
        <v>1129</v>
      </c>
      <c r="B114" t="s">
        <v>1130</v>
      </c>
      <c r="C114" t="s">
        <v>1131</v>
      </c>
      <c r="D114" t="s">
        <v>1132</v>
      </c>
    </row>
    <row r="115" spans="1:4" x14ac:dyDescent="0.25">
      <c r="A115" t="s">
        <v>1194</v>
      </c>
      <c r="B115" t="s">
        <v>1184</v>
      </c>
      <c r="C115" t="s">
        <v>1195</v>
      </c>
      <c r="D115" t="s">
        <v>1196</v>
      </c>
    </row>
    <row r="116" spans="1:4" x14ac:dyDescent="0.25">
      <c r="A116" t="s">
        <v>1197</v>
      </c>
      <c r="B116" t="s">
        <v>546</v>
      </c>
      <c r="C116" t="s">
        <v>1198</v>
      </c>
      <c r="D116" t="s">
        <v>1199</v>
      </c>
    </row>
    <row r="117" spans="1:4" x14ac:dyDescent="0.25">
      <c r="A117" t="s">
        <v>659</v>
      </c>
      <c r="B117" t="s">
        <v>660</v>
      </c>
      <c r="C117" t="s">
        <v>661</v>
      </c>
      <c r="D117" t="s">
        <v>662</v>
      </c>
    </row>
    <row r="118" spans="1:4" x14ac:dyDescent="0.25">
      <c r="A118" t="s">
        <v>1133</v>
      </c>
      <c r="B118" t="s">
        <v>1134</v>
      </c>
      <c r="D118" t="s">
        <v>1135</v>
      </c>
    </row>
    <row r="119" spans="1:4" x14ac:dyDescent="0.25">
      <c r="A119" t="s">
        <v>1136</v>
      </c>
      <c r="B119" t="s">
        <v>663</v>
      </c>
      <c r="C119" t="s">
        <v>633</v>
      </c>
      <c r="D119" t="s">
        <v>664</v>
      </c>
    </row>
    <row r="120" spans="1:4" x14ac:dyDescent="0.25">
      <c r="A120" t="s">
        <v>665</v>
      </c>
      <c r="B120" t="s">
        <v>666</v>
      </c>
      <c r="C120" t="s">
        <v>549</v>
      </c>
      <c r="D120" t="s">
        <v>667</v>
      </c>
    </row>
    <row r="121" spans="1:4" x14ac:dyDescent="0.25">
      <c r="A121" t="s">
        <v>668</v>
      </c>
      <c r="B121" t="s">
        <v>669</v>
      </c>
      <c r="D121" t="s">
        <v>670</v>
      </c>
    </row>
    <row r="122" spans="1:4" x14ac:dyDescent="0.25">
      <c r="A122" t="s">
        <v>671</v>
      </c>
      <c r="B122" s="61">
        <v>0.14000000000000001</v>
      </c>
      <c r="C122" t="s">
        <v>672</v>
      </c>
      <c r="D122" t="s">
        <v>673</v>
      </c>
    </row>
    <row r="123" spans="1:4" x14ac:dyDescent="0.25">
      <c r="A123" t="s">
        <v>674</v>
      </c>
      <c r="B123" t="s">
        <v>675</v>
      </c>
      <c r="C123" t="s">
        <v>676</v>
      </c>
      <c r="D123" t="s">
        <v>677</v>
      </c>
    </row>
    <row r="124" spans="1:4" x14ac:dyDescent="0.25">
      <c r="A124" t="s">
        <v>1172</v>
      </c>
      <c r="B124" t="s">
        <v>1162</v>
      </c>
      <c r="C124" t="s">
        <v>549</v>
      </c>
      <c r="D124" t="s">
        <v>1173</v>
      </c>
    </row>
    <row r="125" spans="1:4" x14ac:dyDescent="0.25">
      <c r="A125" t="s">
        <v>678</v>
      </c>
      <c r="B125" t="s">
        <v>521</v>
      </c>
      <c r="C125" t="s">
        <v>679</v>
      </c>
      <c r="D125" t="s">
        <v>680</v>
      </c>
    </row>
    <row r="126" spans="1:4" x14ac:dyDescent="0.25">
      <c r="A126" t="s">
        <v>681</v>
      </c>
      <c r="B126" t="s">
        <v>682</v>
      </c>
      <c r="C126" t="s">
        <v>683</v>
      </c>
      <c r="D126" t="s">
        <v>684</v>
      </c>
    </row>
    <row r="127" spans="1:4" x14ac:dyDescent="0.25">
      <c r="A127" t="s">
        <v>1137</v>
      </c>
      <c r="B127" t="s">
        <v>685</v>
      </c>
      <c r="C127" t="s">
        <v>485</v>
      </c>
      <c r="D127" t="s">
        <v>686</v>
      </c>
    </row>
    <row r="128" spans="1:4" x14ac:dyDescent="0.25">
      <c r="A128" t="s">
        <v>1138</v>
      </c>
      <c r="B128" t="s">
        <v>1139</v>
      </c>
      <c r="D128" t="s">
        <v>1140</v>
      </c>
    </row>
    <row r="129" spans="1:4" x14ac:dyDescent="0.25">
      <c r="A129" t="s">
        <v>687</v>
      </c>
      <c r="B129" t="s">
        <v>439</v>
      </c>
      <c r="C129" t="s">
        <v>688</v>
      </c>
      <c r="D129" t="s">
        <v>689</v>
      </c>
    </row>
    <row r="130" spans="1:4" x14ac:dyDescent="0.25">
      <c r="A130" t="s">
        <v>690</v>
      </c>
      <c r="B130" t="s">
        <v>691</v>
      </c>
      <c r="C130" t="s">
        <v>692</v>
      </c>
      <c r="D130" t="s">
        <v>693</v>
      </c>
    </row>
    <row r="131" spans="1:4" x14ac:dyDescent="0.25">
      <c r="A131" t="s">
        <v>694</v>
      </c>
      <c r="B131" t="s">
        <v>695</v>
      </c>
      <c r="C131" t="s">
        <v>696</v>
      </c>
      <c r="D131" t="s">
        <v>697</v>
      </c>
    </row>
    <row r="132" spans="1:4" x14ac:dyDescent="0.25">
      <c r="A132" t="s">
        <v>1141</v>
      </c>
      <c r="B132" t="s">
        <v>443</v>
      </c>
      <c r="D132" t="s">
        <v>1142</v>
      </c>
    </row>
    <row r="133" spans="1:4" x14ac:dyDescent="0.25">
      <c r="A133" t="s">
        <v>1143</v>
      </c>
      <c r="B133" s="62">
        <v>3.4000000000000002E-2</v>
      </c>
      <c r="C133" t="s">
        <v>654</v>
      </c>
      <c r="D133" t="s">
        <v>1144</v>
      </c>
    </row>
    <row r="134" spans="1:4" x14ac:dyDescent="0.25">
      <c r="A134" t="s">
        <v>1145</v>
      </c>
      <c r="B134" t="s">
        <v>1146</v>
      </c>
      <c r="D134" t="s">
        <v>1147</v>
      </c>
    </row>
    <row r="135" spans="1:4" x14ac:dyDescent="0.25">
      <c r="A135" t="s">
        <v>1148</v>
      </c>
      <c r="B135" t="s">
        <v>232</v>
      </c>
      <c r="C135" t="s">
        <v>1149</v>
      </c>
      <c r="D135" t="s">
        <v>1150</v>
      </c>
    </row>
    <row r="136" spans="1:4" x14ac:dyDescent="0.25">
      <c r="A136" t="s">
        <v>1151</v>
      </c>
      <c r="B136" t="s">
        <v>685</v>
      </c>
      <c r="C136" t="s">
        <v>575</v>
      </c>
      <c r="D136" t="s">
        <v>634</v>
      </c>
    </row>
    <row r="137" spans="1:4" x14ac:dyDescent="0.25">
      <c r="A137" t="s">
        <v>698</v>
      </c>
      <c r="B137" t="s">
        <v>439</v>
      </c>
      <c r="C137" t="s">
        <v>1186</v>
      </c>
      <c r="D137" t="s">
        <v>1187</v>
      </c>
    </row>
    <row r="138" spans="1:4" x14ac:dyDescent="0.25">
      <c r="A138" t="s">
        <v>699</v>
      </c>
      <c r="B138" t="s">
        <v>700</v>
      </c>
      <c r="C138" t="s">
        <v>701</v>
      </c>
      <c r="D138" t="s">
        <v>702</v>
      </c>
    </row>
    <row r="139" spans="1:4" x14ac:dyDescent="0.25">
      <c r="A139" t="s">
        <v>703</v>
      </c>
      <c r="B139" t="s">
        <v>592</v>
      </c>
      <c r="D139" t="s">
        <v>704</v>
      </c>
    </row>
    <row r="140" spans="1:4" x14ac:dyDescent="0.25">
      <c r="A140" t="s">
        <v>436</v>
      </c>
      <c r="B140" t="s">
        <v>560</v>
      </c>
      <c r="C140" t="s">
        <v>485</v>
      </c>
      <c r="D140" t="s">
        <v>705</v>
      </c>
    </row>
  </sheetData>
  <sheetProtection sheet="1" objects="1" scenarios="1"/>
  <sortState ref="A2:D1210">
    <sortCondition ref="A2:A121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workbookViewId="0">
      <pane ySplit="1" topLeftCell="A161" activePane="bottomLeft" state="frozen"/>
      <selection pane="bottomLeft" activeCell="I170" sqref="I170"/>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44" customWidth="1"/>
    <col min="8" max="8" width="7.88671875" style="144" customWidth="1"/>
    <col min="9" max="9" width="136.21875" bestFit="1" customWidth="1"/>
  </cols>
  <sheetData>
    <row r="1" spans="1:9" ht="34.200000000000003" customHeight="1" x14ac:dyDescent="0.25">
      <c r="A1" s="59" t="s">
        <v>1458</v>
      </c>
      <c r="B1" s="59" t="s">
        <v>69</v>
      </c>
      <c r="C1" s="59" t="s">
        <v>706</v>
      </c>
      <c r="D1" s="59" t="s">
        <v>707</v>
      </c>
      <c r="E1" s="59" t="s">
        <v>1459</v>
      </c>
      <c r="F1" s="59" t="s">
        <v>1509</v>
      </c>
      <c r="G1" s="150" t="s">
        <v>1640</v>
      </c>
      <c r="H1" s="150" t="s">
        <v>1641</v>
      </c>
      <c r="I1" s="59" t="s">
        <v>70</v>
      </c>
    </row>
    <row r="2" spans="1:9" x14ac:dyDescent="0.25">
      <c r="A2" t="s">
        <v>1287</v>
      </c>
      <c r="B2" t="s">
        <v>783</v>
      </c>
      <c r="C2" t="s">
        <v>1224</v>
      </c>
      <c r="D2" t="s">
        <v>719</v>
      </c>
      <c r="E2" t="s">
        <v>717</v>
      </c>
      <c r="F2" s="77"/>
      <c r="G2" s="56">
        <v>63</v>
      </c>
      <c r="H2" s="151">
        <v>77</v>
      </c>
      <c r="I2" t="s">
        <v>1288</v>
      </c>
    </row>
    <row r="3" spans="1:9" x14ac:dyDescent="0.25">
      <c r="A3" t="s">
        <v>712</v>
      </c>
      <c r="B3" t="s">
        <v>708</v>
      </c>
      <c r="C3" t="s">
        <v>709</v>
      </c>
      <c r="D3" t="s">
        <v>713</v>
      </c>
      <c r="E3" t="s">
        <v>711</v>
      </c>
      <c r="F3" s="77">
        <v>0.77500000000000002</v>
      </c>
      <c r="G3" s="144">
        <v>66</v>
      </c>
      <c r="H3" s="151">
        <v>72</v>
      </c>
      <c r="I3" t="s">
        <v>714</v>
      </c>
    </row>
    <row r="4" spans="1:9" x14ac:dyDescent="0.25">
      <c r="A4" t="s">
        <v>1289</v>
      </c>
      <c r="B4" t="s">
        <v>708</v>
      </c>
      <c r="C4" t="s">
        <v>709</v>
      </c>
      <c r="D4" t="s">
        <v>710</v>
      </c>
      <c r="E4" t="s">
        <v>710</v>
      </c>
      <c r="F4" s="77">
        <v>0.78</v>
      </c>
      <c r="G4" s="144">
        <v>66</v>
      </c>
      <c r="H4" s="151">
        <v>72</v>
      </c>
      <c r="I4" t="s">
        <v>1290</v>
      </c>
    </row>
    <row r="5" spans="1:9" x14ac:dyDescent="0.25">
      <c r="A5" t="s">
        <v>715</v>
      </c>
      <c r="B5" t="s">
        <v>708</v>
      </c>
      <c r="C5" t="s">
        <v>716</v>
      </c>
      <c r="D5" t="s">
        <v>710</v>
      </c>
      <c r="E5" t="s">
        <v>717</v>
      </c>
      <c r="F5" s="77"/>
      <c r="G5" s="144">
        <v>59</v>
      </c>
      <c r="H5" s="151">
        <v>68</v>
      </c>
      <c r="I5" t="s">
        <v>1447</v>
      </c>
    </row>
    <row r="6" spans="1:9" x14ac:dyDescent="0.25">
      <c r="A6" t="s">
        <v>718</v>
      </c>
      <c r="B6" t="s">
        <v>708</v>
      </c>
      <c r="C6" t="s">
        <v>709</v>
      </c>
      <c r="D6" t="s">
        <v>719</v>
      </c>
      <c r="E6" t="s">
        <v>720</v>
      </c>
      <c r="F6" s="77">
        <v>0.72499999999999998</v>
      </c>
      <c r="G6" s="144">
        <v>65</v>
      </c>
      <c r="H6" s="151">
        <v>69</v>
      </c>
      <c r="I6" t="s">
        <v>721</v>
      </c>
    </row>
    <row r="7" spans="1:9" x14ac:dyDescent="0.25">
      <c r="A7" t="s">
        <v>722</v>
      </c>
      <c r="B7" t="s">
        <v>708</v>
      </c>
      <c r="C7" t="s">
        <v>723</v>
      </c>
      <c r="D7" t="s">
        <v>724</v>
      </c>
      <c r="E7" t="s">
        <v>725</v>
      </c>
      <c r="F7" s="77">
        <v>0.75</v>
      </c>
      <c r="G7" s="144">
        <v>60</v>
      </c>
      <c r="H7" s="151">
        <v>72</v>
      </c>
      <c r="I7" t="s">
        <v>726</v>
      </c>
    </row>
    <row r="8" spans="1:9" x14ac:dyDescent="0.25">
      <c r="A8" t="s">
        <v>727</v>
      </c>
      <c r="B8" t="s">
        <v>708</v>
      </c>
      <c r="C8" t="s">
        <v>716</v>
      </c>
      <c r="D8" t="s">
        <v>710</v>
      </c>
      <c r="E8" t="s">
        <v>717</v>
      </c>
      <c r="F8" s="77"/>
      <c r="G8" s="144">
        <v>64</v>
      </c>
      <c r="H8" s="151">
        <v>72</v>
      </c>
      <c r="I8" t="s">
        <v>1222</v>
      </c>
    </row>
    <row r="9" spans="1:9" x14ac:dyDescent="0.25">
      <c r="A9" t="s">
        <v>729</v>
      </c>
      <c r="B9" t="s">
        <v>708</v>
      </c>
      <c r="C9" t="s">
        <v>723</v>
      </c>
      <c r="D9" t="s">
        <v>710</v>
      </c>
      <c r="E9" t="s">
        <v>730</v>
      </c>
      <c r="F9" s="77">
        <v>0.74</v>
      </c>
      <c r="G9" s="144">
        <v>60</v>
      </c>
      <c r="H9" s="151">
        <v>72</v>
      </c>
      <c r="I9" t="s">
        <v>731</v>
      </c>
    </row>
    <row r="10" spans="1:9" x14ac:dyDescent="0.25">
      <c r="A10" t="s">
        <v>732</v>
      </c>
      <c r="B10" t="s">
        <v>708</v>
      </c>
      <c r="C10" t="s">
        <v>709</v>
      </c>
      <c r="D10" t="s">
        <v>710</v>
      </c>
      <c r="E10" t="s">
        <v>733</v>
      </c>
      <c r="F10" s="77">
        <v>0.75</v>
      </c>
      <c r="G10" s="144">
        <v>68</v>
      </c>
      <c r="H10" s="151">
        <v>72</v>
      </c>
      <c r="I10" t="s">
        <v>734</v>
      </c>
    </row>
    <row r="11" spans="1:9" x14ac:dyDescent="0.25">
      <c r="A11" t="s">
        <v>1291</v>
      </c>
      <c r="B11" t="s">
        <v>708</v>
      </c>
      <c r="C11" t="s">
        <v>709</v>
      </c>
      <c r="D11" t="s">
        <v>710</v>
      </c>
      <c r="E11" t="s">
        <v>710</v>
      </c>
      <c r="F11" s="77">
        <v>0.78500000000000003</v>
      </c>
      <c r="G11" s="144">
        <v>68</v>
      </c>
      <c r="H11" s="151">
        <v>72</v>
      </c>
      <c r="I11" t="s">
        <v>1292</v>
      </c>
    </row>
    <row r="12" spans="1:9" x14ac:dyDescent="0.25">
      <c r="A12" t="s">
        <v>1255</v>
      </c>
      <c r="B12" t="s">
        <v>708</v>
      </c>
      <c r="C12" t="s">
        <v>716</v>
      </c>
      <c r="D12" t="s">
        <v>717</v>
      </c>
      <c r="E12" t="s">
        <v>710</v>
      </c>
      <c r="F12" s="77"/>
      <c r="G12" s="144">
        <v>68</v>
      </c>
      <c r="H12" s="151">
        <v>72</v>
      </c>
      <c r="I12" t="s">
        <v>1256</v>
      </c>
    </row>
    <row r="13" spans="1:9" x14ac:dyDescent="0.25">
      <c r="A13" t="s">
        <v>1257</v>
      </c>
      <c r="B13" t="s">
        <v>708</v>
      </c>
      <c r="C13" t="s">
        <v>723</v>
      </c>
      <c r="D13" t="s">
        <v>710</v>
      </c>
      <c r="E13" t="s">
        <v>711</v>
      </c>
      <c r="F13" s="77">
        <v>0.77500000000000002</v>
      </c>
      <c r="G13" s="144">
        <v>48</v>
      </c>
      <c r="H13" s="151">
        <v>58</v>
      </c>
      <c r="I13" t="s">
        <v>1258</v>
      </c>
    </row>
    <row r="14" spans="1:9" x14ac:dyDescent="0.25">
      <c r="A14" t="s">
        <v>1259</v>
      </c>
      <c r="B14" t="s">
        <v>708</v>
      </c>
      <c r="C14" t="s">
        <v>709</v>
      </c>
      <c r="D14" t="s">
        <v>710</v>
      </c>
      <c r="E14" t="s">
        <v>711</v>
      </c>
      <c r="F14" s="77">
        <v>0.77500000000000002</v>
      </c>
      <c r="G14" s="144">
        <v>50</v>
      </c>
      <c r="H14" s="151">
        <v>55</v>
      </c>
      <c r="I14" t="s">
        <v>1260</v>
      </c>
    </row>
    <row r="15" spans="1:9" x14ac:dyDescent="0.25">
      <c r="A15" t="s">
        <v>1223</v>
      </c>
      <c r="B15" t="s">
        <v>783</v>
      </c>
      <c r="C15" t="s">
        <v>1224</v>
      </c>
      <c r="D15" t="s">
        <v>710</v>
      </c>
      <c r="E15" t="s">
        <v>710</v>
      </c>
      <c r="F15" s="77"/>
      <c r="G15" s="144">
        <v>59</v>
      </c>
      <c r="H15" s="151">
        <v>72</v>
      </c>
      <c r="I15" t="s">
        <v>728</v>
      </c>
    </row>
    <row r="16" spans="1:9" x14ac:dyDescent="0.25">
      <c r="A16" t="s">
        <v>735</v>
      </c>
      <c r="B16" t="s">
        <v>708</v>
      </c>
      <c r="C16" t="s">
        <v>723</v>
      </c>
      <c r="D16" t="s">
        <v>719</v>
      </c>
      <c r="E16" t="s">
        <v>736</v>
      </c>
      <c r="F16" s="77">
        <v>0.76</v>
      </c>
      <c r="G16" s="144">
        <v>58</v>
      </c>
      <c r="H16" s="151">
        <v>74</v>
      </c>
      <c r="I16" t="s">
        <v>737</v>
      </c>
    </row>
    <row r="17" spans="1:9" x14ac:dyDescent="0.25">
      <c r="A17" t="s">
        <v>1400</v>
      </c>
      <c r="B17" t="s">
        <v>708</v>
      </c>
      <c r="C17" t="s">
        <v>709</v>
      </c>
      <c r="D17" t="s">
        <v>710</v>
      </c>
      <c r="E17" t="s">
        <v>1401</v>
      </c>
      <c r="F17" s="77">
        <v>0.79</v>
      </c>
      <c r="G17" s="144">
        <v>75</v>
      </c>
      <c r="H17" s="151">
        <v>82</v>
      </c>
      <c r="I17" t="s">
        <v>1402</v>
      </c>
    </row>
    <row r="18" spans="1:9" x14ac:dyDescent="0.25">
      <c r="A18" t="s">
        <v>1293</v>
      </c>
      <c r="B18" t="s">
        <v>708</v>
      </c>
      <c r="C18" t="s">
        <v>709</v>
      </c>
      <c r="D18" t="s">
        <v>710</v>
      </c>
      <c r="E18" t="s">
        <v>710</v>
      </c>
      <c r="F18" s="77">
        <v>0.76500000000000001</v>
      </c>
      <c r="G18" s="144">
        <v>67</v>
      </c>
      <c r="H18" s="151">
        <v>70</v>
      </c>
      <c r="I18" t="s">
        <v>1294</v>
      </c>
    </row>
    <row r="19" spans="1:9" x14ac:dyDescent="0.25">
      <c r="A19" t="s">
        <v>738</v>
      </c>
      <c r="B19" t="s">
        <v>708</v>
      </c>
      <c r="C19" t="s">
        <v>709</v>
      </c>
      <c r="D19" t="s">
        <v>717</v>
      </c>
      <c r="E19" t="s">
        <v>720</v>
      </c>
      <c r="F19" s="77">
        <v>0.72499999999999998</v>
      </c>
      <c r="G19" s="144">
        <v>65</v>
      </c>
      <c r="H19" s="151">
        <v>70</v>
      </c>
      <c r="I19" t="s">
        <v>739</v>
      </c>
    </row>
    <row r="20" spans="1:9" x14ac:dyDescent="0.25">
      <c r="A20" t="s">
        <v>1440</v>
      </c>
      <c r="B20" t="s">
        <v>708</v>
      </c>
      <c r="C20" t="s">
        <v>1239</v>
      </c>
      <c r="D20" t="s">
        <v>710</v>
      </c>
      <c r="E20" t="s">
        <v>710</v>
      </c>
      <c r="F20" s="77"/>
      <c r="G20" s="144">
        <v>75</v>
      </c>
      <c r="H20" s="151">
        <v>78</v>
      </c>
      <c r="I20" t="s">
        <v>1441</v>
      </c>
    </row>
    <row r="21" spans="1:9" x14ac:dyDescent="0.25">
      <c r="A21" t="s">
        <v>740</v>
      </c>
      <c r="B21" t="s">
        <v>708</v>
      </c>
      <c r="C21" t="s">
        <v>709</v>
      </c>
      <c r="D21" t="s">
        <v>710</v>
      </c>
      <c r="E21" t="s">
        <v>741</v>
      </c>
      <c r="F21" s="77">
        <v>0.77</v>
      </c>
      <c r="G21" s="144">
        <v>66</v>
      </c>
      <c r="H21" s="151">
        <v>72</v>
      </c>
      <c r="I21" t="s">
        <v>742</v>
      </c>
    </row>
    <row r="22" spans="1:9" x14ac:dyDescent="0.25">
      <c r="A22" t="s">
        <v>1368</v>
      </c>
      <c r="B22" t="s">
        <v>708</v>
      </c>
      <c r="C22" t="s">
        <v>723</v>
      </c>
      <c r="D22" t="s">
        <v>710</v>
      </c>
      <c r="E22" t="s">
        <v>725</v>
      </c>
      <c r="F22" s="77">
        <v>0.75</v>
      </c>
      <c r="G22" s="144">
        <v>46</v>
      </c>
      <c r="H22" s="151">
        <v>58</v>
      </c>
      <c r="I22" t="s">
        <v>1369</v>
      </c>
    </row>
    <row r="23" spans="1:9" x14ac:dyDescent="0.25">
      <c r="A23" t="s">
        <v>743</v>
      </c>
      <c r="B23" t="s">
        <v>708</v>
      </c>
      <c r="C23" t="s">
        <v>709</v>
      </c>
      <c r="D23" t="s">
        <v>719</v>
      </c>
      <c r="E23" t="s">
        <v>725</v>
      </c>
      <c r="F23" s="77">
        <v>0.75</v>
      </c>
      <c r="G23" s="144">
        <v>66</v>
      </c>
      <c r="H23" s="151">
        <v>70</v>
      </c>
      <c r="I23" t="s">
        <v>744</v>
      </c>
    </row>
    <row r="24" spans="1:9" x14ac:dyDescent="0.25">
      <c r="A24" t="s">
        <v>745</v>
      </c>
      <c r="B24" t="s">
        <v>708</v>
      </c>
      <c r="C24" t="s">
        <v>716</v>
      </c>
      <c r="D24" t="s">
        <v>717</v>
      </c>
      <c r="E24" t="s">
        <v>710</v>
      </c>
      <c r="F24" s="77"/>
      <c r="G24" s="144">
        <v>50</v>
      </c>
      <c r="H24" s="151">
        <v>57</v>
      </c>
      <c r="I24" t="s">
        <v>746</v>
      </c>
    </row>
    <row r="25" spans="1:9" x14ac:dyDescent="0.25">
      <c r="A25" t="s">
        <v>748</v>
      </c>
      <c r="B25" t="s">
        <v>708</v>
      </c>
      <c r="C25" t="s">
        <v>723</v>
      </c>
      <c r="D25" t="s">
        <v>719</v>
      </c>
      <c r="E25" t="s">
        <v>749</v>
      </c>
      <c r="F25" s="77">
        <v>0.73</v>
      </c>
      <c r="G25" s="144">
        <v>64</v>
      </c>
      <c r="H25" s="151">
        <v>75</v>
      </c>
      <c r="I25" t="s">
        <v>750</v>
      </c>
    </row>
    <row r="26" spans="1:9" x14ac:dyDescent="0.25">
      <c r="A26" t="s">
        <v>1451</v>
      </c>
      <c r="B26" t="s">
        <v>708</v>
      </c>
      <c r="C26" t="s">
        <v>723</v>
      </c>
      <c r="D26" t="s">
        <v>710</v>
      </c>
      <c r="E26" t="s">
        <v>725</v>
      </c>
      <c r="F26" s="77">
        <v>0.75</v>
      </c>
      <c r="G26" s="144">
        <v>64</v>
      </c>
      <c r="H26" s="151">
        <v>74</v>
      </c>
      <c r="I26" t="s">
        <v>747</v>
      </c>
    </row>
    <row r="27" spans="1:9" x14ac:dyDescent="0.25">
      <c r="A27" t="s">
        <v>1452</v>
      </c>
      <c r="B27" t="s">
        <v>783</v>
      </c>
      <c r="C27" t="s">
        <v>1251</v>
      </c>
      <c r="D27" t="s">
        <v>719</v>
      </c>
      <c r="E27" t="s">
        <v>710</v>
      </c>
      <c r="F27" s="77"/>
      <c r="G27" s="144">
        <v>59</v>
      </c>
      <c r="H27" s="151">
        <v>86</v>
      </c>
      <c r="I27" t="s">
        <v>1453</v>
      </c>
    </row>
    <row r="28" spans="1:9" x14ac:dyDescent="0.25">
      <c r="A28" t="s">
        <v>751</v>
      </c>
      <c r="B28" t="s">
        <v>708</v>
      </c>
      <c r="C28" t="s">
        <v>709</v>
      </c>
      <c r="D28" t="s">
        <v>717</v>
      </c>
      <c r="E28" t="s">
        <v>733</v>
      </c>
      <c r="F28" s="77">
        <v>0.75</v>
      </c>
      <c r="G28" s="144">
        <v>65</v>
      </c>
      <c r="H28" s="151">
        <v>70</v>
      </c>
      <c r="I28" t="s">
        <v>752</v>
      </c>
    </row>
    <row r="29" spans="1:9" x14ac:dyDescent="0.25">
      <c r="A29" t="s">
        <v>1556</v>
      </c>
      <c r="B29" t="s">
        <v>708</v>
      </c>
      <c r="C29" t="s">
        <v>1239</v>
      </c>
      <c r="D29" t="s">
        <v>710</v>
      </c>
      <c r="E29" t="s">
        <v>710</v>
      </c>
      <c r="F29" s="77">
        <v>0.75</v>
      </c>
      <c r="G29" s="144">
        <v>66</v>
      </c>
      <c r="H29" s="151">
        <v>72</v>
      </c>
      <c r="I29" t="s">
        <v>1564</v>
      </c>
    </row>
    <row r="30" spans="1:9" x14ac:dyDescent="0.25">
      <c r="A30" t="s">
        <v>1295</v>
      </c>
      <c r="B30" t="s">
        <v>708</v>
      </c>
      <c r="C30" t="s">
        <v>1239</v>
      </c>
      <c r="D30" t="s">
        <v>710</v>
      </c>
      <c r="E30" t="s">
        <v>1555</v>
      </c>
      <c r="F30" s="77">
        <v>0.75</v>
      </c>
      <c r="G30" s="144">
        <v>66</v>
      </c>
      <c r="H30" s="151">
        <v>72</v>
      </c>
      <c r="I30" t="s">
        <v>1561</v>
      </c>
    </row>
    <row r="31" spans="1:9" x14ac:dyDescent="0.25">
      <c r="A31" t="s">
        <v>1365</v>
      </c>
      <c r="B31" t="s">
        <v>708</v>
      </c>
      <c r="C31" t="s">
        <v>723</v>
      </c>
      <c r="D31" t="s">
        <v>724</v>
      </c>
      <c r="E31" t="s">
        <v>736</v>
      </c>
      <c r="F31" s="77">
        <v>0.76</v>
      </c>
      <c r="G31" s="144">
        <v>68</v>
      </c>
      <c r="H31" s="151">
        <v>78</v>
      </c>
      <c r="I31" t="s">
        <v>755</v>
      </c>
    </row>
    <row r="32" spans="1:9" x14ac:dyDescent="0.25">
      <c r="A32" t="s">
        <v>753</v>
      </c>
      <c r="B32" t="s">
        <v>708</v>
      </c>
      <c r="C32" t="s">
        <v>723</v>
      </c>
      <c r="D32" t="s">
        <v>710</v>
      </c>
      <c r="E32" t="s">
        <v>725</v>
      </c>
      <c r="F32" s="77">
        <v>0.75</v>
      </c>
      <c r="G32" s="144">
        <v>65</v>
      </c>
      <c r="H32" s="151">
        <v>75</v>
      </c>
      <c r="I32" t="s">
        <v>754</v>
      </c>
    </row>
    <row r="33" spans="1:9" x14ac:dyDescent="0.25">
      <c r="A33" t="s">
        <v>756</v>
      </c>
      <c r="B33" t="s">
        <v>708</v>
      </c>
      <c r="C33" t="s">
        <v>709</v>
      </c>
      <c r="D33" t="s">
        <v>710</v>
      </c>
      <c r="E33" t="s">
        <v>757</v>
      </c>
      <c r="F33" s="77">
        <v>0.81499999999999995</v>
      </c>
      <c r="G33" s="144">
        <v>68</v>
      </c>
      <c r="H33" s="151">
        <v>78</v>
      </c>
      <c r="I33" t="s">
        <v>758</v>
      </c>
    </row>
    <row r="34" spans="1:9" x14ac:dyDescent="0.25">
      <c r="A34" t="s">
        <v>1296</v>
      </c>
      <c r="B34" t="s">
        <v>783</v>
      </c>
      <c r="C34" t="s">
        <v>1251</v>
      </c>
      <c r="D34" t="s">
        <v>710</v>
      </c>
      <c r="E34" t="s">
        <v>717</v>
      </c>
      <c r="F34" s="77"/>
      <c r="G34" s="144">
        <v>79</v>
      </c>
      <c r="H34" s="151">
        <v>90</v>
      </c>
      <c r="I34" t="s">
        <v>1297</v>
      </c>
    </row>
    <row r="35" spans="1:9" x14ac:dyDescent="0.25">
      <c r="A35" t="s">
        <v>759</v>
      </c>
      <c r="B35" t="s">
        <v>708</v>
      </c>
      <c r="C35" t="s">
        <v>723</v>
      </c>
      <c r="D35" t="s">
        <v>717</v>
      </c>
      <c r="E35" t="s">
        <v>730</v>
      </c>
      <c r="F35" s="77">
        <v>0.74</v>
      </c>
      <c r="G35" s="144">
        <v>65</v>
      </c>
      <c r="H35" s="151">
        <v>85</v>
      </c>
      <c r="I35" t="s">
        <v>760</v>
      </c>
    </row>
    <row r="36" spans="1:9" x14ac:dyDescent="0.25">
      <c r="A36" t="s">
        <v>1298</v>
      </c>
      <c r="B36" t="s">
        <v>708</v>
      </c>
      <c r="C36" t="s">
        <v>723</v>
      </c>
      <c r="D36" t="s">
        <v>710</v>
      </c>
      <c r="E36" t="s">
        <v>1572</v>
      </c>
      <c r="F36" s="77">
        <v>0.76500000000000001</v>
      </c>
      <c r="G36" s="144">
        <v>65</v>
      </c>
      <c r="H36" s="151">
        <v>80</v>
      </c>
      <c r="I36" t="s">
        <v>1573</v>
      </c>
    </row>
    <row r="37" spans="1:9" x14ac:dyDescent="0.25">
      <c r="A37" t="s">
        <v>761</v>
      </c>
      <c r="B37" t="s">
        <v>708</v>
      </c>
      <c r="C37" t="s">
        <v>709</v>
      </c>
      <c r="D37" t="s">
        <v>719</v>
      </c>
      <c r="E37" t="s">
        <v>762</v>
      </c>
      <c r="F37" s="77">
        <v>0.755</v>
      </c>
      <c r="G37" s="144">
        <v>68</v>
      </c>
      <c r="H37" s="151">
        <v>75</v>
      </c>
      <c r="I37" t="s">
        <v>763</v>
      </c>
    </row>
    <row r="38" spans="1:9" x14ac:dyDescent="0.25">
      <c r="A38" t="s">
        <v>1261</v>
      </c>
      <c r="B38" t="s">
        <v>708</v>
      </c>
      <c r="C38" t="s">
        <v>709</v>
      </c>
      <c r="D38" t="s">
        <v>710</v>
      </c>
      <c r="E38" t="s">
        <v>710</v>
      </c>
      <c r="F38" s="77">
        <v>0.75</v>
      </c>
      <c r="G38" s="144">
        <v>50</v>
      </c>
      <c r="H38" s="151">
        <v>55</v>
      </c>
      <c r="I38" t="s">
        <v>1262</v>
      </c>
    </row>
    <row r="39" spans="1:9" x14ac:dyDescent="0.25">
      <c r="A39" t="s">
        <v>1324</v>
      </c>
      <c r="B39" t="s">
        <v>708</v>
      </c>
      <c r="C39" t="s">
        <v>723</v>
      </c>
      <c r="D39" t="s">
        <v>724</v>
      </c>
      <c r="E39" t="s">
        <v>768</v>
      </c>
      <c r="F39" s="77">
        <v>0.7</v>
      </c>
      <c r="G39" s="144">
        <v>63</v>
      </c>
      <c r="H39" s="151">
        <v>75</v>
      </c>
      <c r="I39" t="s">
        <v>1325</v>
      </c>
    </row>
    <row r="40" spans="1:9" x14ac:dyDescent="0.25">
      <c r="A40" t="s">
        <v>764</v>
      </c>
      <c r="B40" t="s">
        <v>708</v>
      </c>
      <c r="C40" t="s">
        <v>723</v>
      </c>
      <c r="D40" t="s">
        <v>719</v>
      </c>
      <c r="E40" t="s">
        <v>765</v>
      </c>
      <c r="F40" s="77">
        <v>0.78</v>
      </c>
      <c r="G40" s="144">
        <v>70</v>
      </c>
      <c r="H40" s="151">
        <v>95</v>
      </c>
      <c r="I40" t="s">
        <v>766</v>
      </c>
    </row>
    <row r="41" spans="1:9" x14ac:dyDescent="0.25">
      <c r="A41" t="s">
        <v>767</v>
      </c>
      <c r="B41" t="s">
        <v>708</v>
      </c>
      <c r="C41" t="s">
        <v>709</v>
      </c>
      <c r="D41" t="s">
        <v>710</v>
      </c>
      <c r="E41" t="s">
        <v>768</v>
      </c>
      <c r="F41" s="77">
        <v>0.7</v>
      </c>
      <c r="G41" s="144">
        <v>68</v>
      </c>
      <c r="H41" s="151">
        <v>75</v>
      </c>
      <c r="I41" t="s">
        <v>769</v>
      </c>
    </row>
    <row r="42" spans="1:9" x14ac:dyDescent="0.25">
      <c r="A42" t="s">
        <v>1299</v>
      </c>
      <c r="B42" t="s">
        <v>708</v>
      </c>
      <c r="C42" t="s">
        <v>709</v>
      </c>
      <c r="D42" t="s">
        <v>710</v>
      </c>
      <c r="E42" t="s">
        <v>717</v>
      </c>
      <c r="F42" s="77">
        <v>0.81499999999999995</v>
      </c>
      <c r="G42" s="144">
        <v>68</v>
      </c>
      <c r="H42" s="151">
        <v>78</v>
      </c>
      <c r="I42" t="s">
        <v>1300</v>
      </c>
    </row>
    <row r="43" spans="1:9" x14ac:dyDescent="0.25">
      <c r="A43" t="s">
        <v>1301</v>
      </c>
      <c r="B43" t="s">
        <v>708</v>
      </c>
      <c r="C43" t="s">
        <v>709</v>
      </c>
      <c r="D43" t="s">
        <v>724</v>
      </c>
      <c r="E43" t="s">
        <v>710</v>
      </c>
      <c r="F43" s="77"/>
      <c r="G43" s="144">
        <v>68</v>
      </c>
      <c r="H43" s="151">
        <v>75</v>
      </c>
      <c r="I43" t="s">
        <v>1302</v>
      </c>
    </row>
    <row r="44" spans="1:9" x14ac:dyDescent="0.25">
      <c r="A44" t="s">
        <v>1303</v>
      </c>
      <c r="B44" t="s">
        <v>708</v>
      </c>
      <c r="C44" t="s">
        <v>723</v>
      </c>
      <c r="D44" t="s">
        <v>710</v>
      </c>
      <c r="E44" s="77" t="s">
        <v>725</v>
      </c>
      <c r="F44" s="77">
        <v>0.75</v>
      </c>
      <c r="G44" s="144">
        <v>62</v>
      </c>
      <c r="H44" s="151">
        <v>74</v>
      </c>
      <c r="I44" t="s">
        <v>1574</v>
      </c>
    </row>
    <row r="45" spans="1:9" x14ac:dyDescent="0.25">
      <c r="A45" t="s">
        <v>1326</v>
      </c>
      <c r="B45" t="s">
        <v>708</v>
      </c>
      <c r="C45" t="s">
        <v>709</v>
      </c>
      <c r="D45" t="s">
        <v>724</v>
      </c>
      <c r="E45" t="s">
        <v>804</v>
      </c>
      <c r="F45" s="77">
        <v>0.75</v>
      </c>
      <c r="G45" s="144">
        <v>80</v>
      </c>
      <c r="H45" s="151">
        <v>85</v>
      </c>
      <c r="I45" t="s">
        <v>1327</v>
      </c>
    </row>
    <row r="46" spans="1:9" x14ac:dyDescent="0.25">
      <c r="A46" t="s">
        <v>1304</v>
      </c>
      <c r="B46" t="s">
        <v>708</v>
      </c>
      <c r="C46" t="s">
        <v>723</v>
      </c>
      <c r="D46" t="s">
        <v>710</v>
      </c>
      <c r="E46" t="s">
        <v>1575</v>
      </c>
      <c r="F46" s="77">
        <v>0.77500000000000002</v>
      </c>
      <c r="G46" s="144">
        <v>65</v>
      </c>
      <c r="H46" s="151">
        <v>75</v>
      </c>
      <c r="I46" t="s">
        <v>1576</v>
      </c>
    </row>
    <row r="47" spans="1:9" x14ac:dyDescent="0.25">
      <c r="A47" t="s">
        <v>770</v>
      </c>
      <c r="B47" t="s">
        <v>708</v>
      </c>
      <c r="C47" t="s">
        <v>723</v>
      </c>
      <c r="D47" t="s">
        <v>719</v>
      </c>
      <c r="E47" t="s">
        <v>736</v>
      </c>
      <c r="F47" s="77">
        <v>0.76</v>
      </c>
      <c r="G47" s="144">
        <v>64</v>
      </c>
      <c r="H47" s="151">
        <v>80</v>
      </c>
      <c r="I47" t="s">
        <v>771</v>
      </c>
    </row>
    <row r="48" spans="1:9" x14ac:dyDescent="0.25">
      <c r="A48" t="s">
        <v>1366</v>
      </c>
      <c r="B48" t="s">
        <v>708</v>
      </c>
      <c r="C48" t="s">
        <v>709</v>
      </c>
      <c r="D48" t="s">
        <v>710</v>
      </c>
      <c r="E48" t="s">
        <v>717</v>
      </c>
      <c r="F48" s="77">
        <v>0.81499999999999995</v>
      </c>
      <c r="G48" s="144">
        <v>66</v>
      </c>
      <c r="H48" s="151">
        <v>72</v>
      </c>
      <c r="I48" t="s">
        <v>1367</v>
      </c>
    </row>
    <row r="49" spans="1:9" x14ac:dyDescent="0.25">
      <c r="A49" t="s">
        <v>772</v>
      </c>
      <c r="B49" t="s">
        <v>708</v>
      </c>
      <c r="C49" t="s">
        <v>709</v>
      </c>
      <c r="D49" t="s">
        <v>710</v>
      </c>
      <c r="E49" t="s">
        <v>741</v>
      </c>
      <c r="F49" s="77">
        <v>0.77</v>
      </c>
      <c r="G49" s="144">
        <v>68</v>
      </c>
      <c r="H49" s="151">
        <v>75</v>
      </c>
      <c r="I49" t="s">
        <v>773</v>
      </c>
    </row>
    <row r="50" spans="1:9" x14ac:dyDescent="0.25">
      <c r="A50" t="s">
        <v>1305</v>
      </c>
      <c r="B50" t="s">
        <v>708</v>
      </c>
      <c r="C50" t="s">
        <v>709</v>
      </c>
      <c r="D50" t="s">
        <v>710</v>
      </c>
      <c r="E50" t="s">
        <v>804</v>
      </c>
      <c r="F50" s="77">
        <v>0.75</v>
      </c>
      <c r="G50" s="144">
        <v>70</v>
      </c>
      <c r="H50" s="151">
        <v>80</v>
      </c>
      <c r="I50" t="s">
        <v>1306</v>
      </c>
    </row>
    <row r="51" spans="1:9" x14ac:dyDescent="0.25">
      <c r="A51" t="s">
        <v>774</v>
      </c>
      <c r="B51" t="s">
        <v>708</v>
      </c>
      <c r="C51" t="s">
        <v>723</v>
      </c>
      <c r="D51" t="s">
        <v>710</v>
      </c>
      <c r="E51" t="s">
        <v>730</v>
      </c>
      <c r="F51" s="77">
        <v>0.74</v>
      </c>
      <c r="G51" s="144">
        <v>64</v>
      </c>
      <c r="H51" s="151">
        <v>74</v>
      </c>
      <c r="I51" t="s">
        <v>775</v>
      </c>
    </row>
    <row r="52" spans="1:9" x14ac:dyDescent="0.25">
      <c r="A52" t="s">
        <v>1307</v>
      </c>
      <c r="B52" t="s">
        <v>708</v>
      </c>
      <c r="C52" t="s">
        <v>1239</v>
      </c>
      <c r="D52" t="s">
        <v>719</v>
      </c>
      <c r="E52" t="s">
        <v>710</v>
      </c>
      <c r="F52" s="77">
        <v>0.76</v>
      </c>
      <c r="G52" s="144">
        <v>72</v>
      </c>
      <c r="H52" s="151">
        <v>75</v>
      </c>
      <c r="I52" t="s">
        <v>1563</v>
      </c>
    </row>
    <row r="53" spans="1:9" x14ac:dyDescent="0.25">
      <c r="A53" t="s">
        <v>776</v>
      </c>
      <c r="B53" t="s">
        <v>708</v>
      </c>
      <c r="C53" t="s">
        <v>709</v>
      </c>
      <c r="D53" t="s">
        <v>724</v>
      </c>
      <c r="E53" t="s">
        <v>736</v>
      </c>
      <c r="F53" s="77">
        <v>0.76</v>
      </c>
      <c r="G53" s="144">
        <v>67</v>
      </c>
      <c r="H53" s="151">
        <v>74</v>
      </c>
      <c r="I53" t="s">
        <v>777</v>
      </c>
    </row>
    <row r="54" spans="1:9" x14ac:dyDescent="0.25">
      <c r="A54" t="s">
        <v>778</v>
      </c>
      <c r="B54" t="s">
        <v>708</v>
      </c>
      <c r="C54" t="s">
        <v>709</v>
      </c>
      <c r="D54" t="s">
        <v>724</v>
      </c>
      <c r="E54" t="s">
        <v>720</v>
      </c>
      <c r="F54" s="77">
        <v>0.72499999999999998</v>
      </c>
      <c r="G54" s="144">
        <v>67</v>
      </c>
      <c r="H54" s="151">
        <v>74</v>
      </c>
      <c r="I54" t="s">
        <v>779</v>
      </c>
    </row>
    <row r="55" spans="1:9" x14ac:dyDescent="0.25">
      <c r="A55" t="s">
        <v>780</v>
      </c>
      <c r="B55" t="s">
        <v>708</v>
      </c>
      <c r="C55" t="s">
        <v>723</v>
      </c>
      <c r="D55" t="s">
        <v>710</v>
      </c>
      <c r="E55" t="s">
        <v>730</v>
      </c>
      <c r="F55" s="77">
        <v>0.74</v>
      </c>
      <c r="G55" s="144">
        <v>60</v>
      </c>
      <c r="H55" s="151">
        <v>75</v>
      </c>
      <c r="I55" t="s">
        <v>781</v>
      </c>
    </row>
    <row r="56" spans="1:9" x14ac:dyDescent="0.25">
      <c r="A56" t="s">
        <v>1308</v>
      </c>
      <c r="B56" t="s">
        <v>783</v>
      </c>
      <c r="C56" t="s">
        <v>1224</v>
      </c>
      <c r="D56" t="s">
        <v>719</v>
      </c>
      <c r="E56" t="s">
        <v>717</v>
      </c>
      <c r="F56" s="77"/>
      <c r="G56" s="144">
        <v>59</v>
      </c>
      <c r="H56" s="151">
        <v>95</v>
      </c>
      <c r="I56" t="s">
        <v>1309</v>
      </c>
    </row>
    <row r="57" spans="1:9" x14ac:dyDescent="0.25">
      <c r="A57" t="s">
        <v>1328</v>
      </c>
      <c r="B57" t="s">
        <v>708</v>
      </c>
      <c r="C57" t="s">
        <v>1239</v>
      </c>
      <c r="E57" t="s">
        <v>232</v>
      </c>
      <c r="F57" s="77"/>
      <c r="G57" s="144">
        <v>70</v>
      </c>
      <c r="H57" s="151">
        <v>74</v>
      </c>
      <c r="I57" t="s">
        <v>1329</v>
      </c>
    </row>
    <row r="58" spans="1:9" x14ac:dyDescent="0.25">
      <c r="A58" t="s">
        <v>1577</v>
      </c>
      <c r="B58" t="s">
        <v>708</v>
      </c>
      <c r="C58" t="s">
        <v>723</v>
      </c>
      <c r="D58" t="s">
        <v>719</v>
      </c>
      <c r="E58" t="s">
        <v>1578</v>
      </c>
      <c r="F58" s="77">
        <v>0.75</v>
      </c>
      <c r="G58" s="144">
        <v>68</v>
      </c>
      <c r="H58" s="151">
        <v>72</v>
      </c>
      <c r="I58" t="s">
        <v>1579</v>
      </c>
    </row>
    <row r="59" spans="1:9" x14ac:dyDescent="0.25">
      <c r="A59" t="s">
        <v>1330</v>
      </c>
      <c r="B59" t="s">
        <v>708</v>
      </c>
      <c r="C59" t="s">
        <v>709</v>
      </c>
      <c r="D59" t="s">
        <v>710</v>
      </c>
      <c r="E59" t="s">
        <v>1331</v>
      </c>
      <c r="F59" s="77">
        <v>0.71499999999999997</v>
      </c>
      <c r="G59" s="144">
        <v>68</v>
      </c>
      <c r="H59" s="151">
        <v>72</v>
      </c>
      <c r="I59" t="s">
        <v>1332</v>
      </c>
    </row>
    <row r="60" spans="1:9" x14ac:dyDescent="0.25">
      <c r="A60" t="s">
        <v>1580</v>
      </c>
      <c r="B60" t="s">
        <v>708</v>
      </c>
      <c r="C60" t="s">
        <v>723</v>
      </c>
      <c r="D60" t="s">
        <v>719</v>
      </c>
      <c r="E60" t="s">
        <v>1572</v>
      </c>
      <c r="F60" s="77">
        <v>0.76500000000000001</v>
      </c>
      <c r="G60" s="144">
        <v>70</v>
      </c>
      <c r="H60" s="151">
        <v>84</v>
      </c>
      <c r="I60" t="s">
        <v>1581</v>
      </c>
    </row>
    <row r="61" spans="1:9" x14ac:dyDescent="0.25">
      <c r="A61" t="s">
        <v>1370</v>
      </c>
      <c r="B61" t="s">
        <v>708</v>
      </c>
      <c r="C61" t="s">
        <v>723</v>
      </c>
      <c r="D61" t="s">
        <v>710</v>
      </c>
      <c r="E61" t="s">
        <v>725</v>
      </c>
      <c r="F61" s="77">
        <v>0.75</v>
      </c>
      <c r="G61" s="144">
        <v>45</v>
      </c>
      <c r="H61" s="151">
        <v>68</v>
      </c>
      <c r="I61" t="s">
        <v>1371</v>
      </c>
    </row>
    <row r="62" spans="1:9" x14ac:dyDescent="0.25">
      <c r="A62" t="s">
        <v>1420</v>
      </c>
      <c r="B62" t="s">
        <v>783</v>
      </c>
      <c r="C62" t="s">
        <v>1251</v>
      </c>
      <c r="D62" t="s">
        <v>717</v>
      </c>
      <c r="E62" t="s">
        <v>717</v>
      </c>
      <c r="F62" s="77"/>
      <c r="G62" s="144">
        <v>50</v>
      </c>
      <c r="H62" s="151">
        <v>59</v>
      </c>
      <c r="I62" t="s">
        <v>1421</v>
      </c>
    </row>
    <row r="63" spans="1:9" x14ac:dyDescent="0.25">
      <c r="A63" t="s">
        <v>1280</v>
      </c>
      <c r="B63" t="s">
        <v>708</v>
      </c>
      <c r="C63" t="s">
        <v>709</v>
      </c>
      <c r="D63" t="s">
        <v>710</v>
      </c>
      <c r="E63" t="s">
        <v>711</v>
      </c>
      <c r="F63" s="77">
        <v>0.77500000000000002</v>
      </c>
      <c r="G63" s="144">
        <v>72</v>
      </c>
      <c r="H63" s="151">
        <v>77</v>
      </c>
      <c r="I63" t="s">
        <v>1281</v>
      </c>
    </row>
    <row r="64" spans="1:9" x14ac:dyDescent="0.25">
      <c r="A64" t="s">
        <v>1333</v>
      </c>
      <c r="B64" t="s">
        <v>708</v>
      </c>
      <c r="C64" t="s">
        <v>1239</v>
      </c>
      <c r="E64" t="s">
        <v>232</v>
      </c>
      <c r="F64" s="77"/>
      <c r="G64" s="144" t="s">
        <v>232</v>
      </c>
      <c r="H64" s="151"/>
      <c r="I64" t="s">
        <v>1334</v>
      </c>
    </row>
    <row r="65" spans="1:9" x14ac:dyDescent="0.25">
      <c r="A65" t="s">
        <v>1335</v>
      </c>
      <c r="B65" t="s">
        <v>708</v>
      </c>
      <c r="C65" t="s">
        <v>1239</v>
      </c>
      <c r="E65" t="s">
        <v>232</v>
      </c>
      <c r="F65" s="77"/>
      <c r="G65" s="144" t="s">
        <v>232</v>
      </c>
      <c r="H65" s="151"/>
      <c r="I65" t="s">
        <v>1336</v>
      </c>
    </row>
    <row r="66" spans="1:9" x14ac:dyDescent="0.25">
      <c r="A66" t="s">
        <v>1337</v>
      </c>
      <c r="B66" t="s">
        <v>708</v>
      </c>
      <c r="C66" t="s">
        <v>1239</v>
      </c>
      <c r="E66" t="s">
        <v>232</v>
      </c>
      <c r="F66" s="77"/>
      <c r="G66" s="144">
        <v>60</v>
      </c>
      <c r="H66" s="151">
        <v>74</v>
      </c>
      <c r="I66" t="s">
        <v>1338</v>
      </c>
    </row>
    <row r="67" spans="1:9" x14ac:dyDescent="0.25">
      <c r="A67" t="s">
        <v>1339</v>
      </c>
      <c r="B67" t="s">
        <v>708</v>
      </c>
      <c r="C67" t="s">
        <v>1239</v>
      </c>
      <c r="E67" t="s">
        <v>232</v>
      </c>
      <c r="F67" s="77"/>
      <c r="G67" s="144" t="s">
        <v>232</v>
      </c>
      <c r="H67" s="151"/>
      <c r="I67" t="s">
        <v>1340</v>
      </c>
    </row>
    <row r="68" spans="1:9" x14ac:dyDescent="0.25">
      <c r="A68" t="s">
        <v>1341</v>
      </c>
      <c r="B68" t="s">
        <v>708</v>
      </c>
      <c r="C68" t="s">
        <v>723</v>
      </c>
      <c r="D68" t="s">
        <v>710</v>
      </c>
      <c r="E68" t="s">
        <v>717</v>
      </c>
      <c r="F68" s="77"/>
      <c r="G68" s="144">
        <v>60</v>
      </c>
      <c r="H68" s="151">
        <v>75</v>
      </c>
      <c r="I68" t="s">
        <v>1342</v>
      </c>
    </row>
    <row r="69" spans="1:9" x14ac:dyDescent="0.25">
      <c r="A69" t="s">
        <v>1343</v>
      </c>
      <c r="B69" t="s">
        <v>708</v>
      </c>
      <c r="C69" t="s">
        <v>723</v>
      </c>
      <c r="D69" t="s">
        <v>710</v>
      </c>
      <c r="E69" t="s">
        <v>717</v>
      </c>
      <c r="F69" s="77"/>
      <c r="G69" s="144">
        <v>60</v>
      </c>
      <c r="H69" s="151">
        <v>75</v>
      </c>
      <c r="I69" t="s">
        <v>1344</v>
      </c>
    </row>
    <row r="70" spans="1:9" x14ac:dyDescent="0.25">
      <c r="A70" t="s">
        <v>1345</v>
      </c>
      <c r="B70" t="s">
        <v>708</v>
      </c>
      <c r="C70" t="s">
        <v>709</v>
      </c>
      <c r="D70" t="s">
        <v>719</v>
      </c>
      <c r="E70" s="61">
        <v>0.85</v>
      </c>
      <c r="F70" s="77">
        <v>0.85</v>
      </c>
      <c r="G70" s="144">
        <v>70</v>
      </c>
      <c r="H70" s="151">
        <v>85</v>
      </c>
      <c r="I70" t="s">
        <v>1310</v>
      </c>
    </row>
    <row r="71" spans="1:9" x14ac:dyDescent="0.25">
      <c r="A71" t="s">
        <v>1346</v>
      </c>
      <c r="B71" t="s">
        <v>708</v>
      </c>
      <c r="C71" t="s">
        <v>709</v>
      </c>
      <c r="D71" t="s">
        <v>719</v>
      </c>
      <c r="E71" t="s">
        <v>1347</v>
      </c>
      <c r="F71" s="77">
        <v>0.77500000000000002</v>
      </c>
      <c r="G71" s="144">
        <v>85</v>
      </c>
      <c r="H71" s="151">
        <v>85</v>
      </c>
      <c r="I71" t="s">
        <v>1348</v>
      </c>
    </row>
    <row r="72" spans="1:9" x14ac:dyDescent="0.25">
      <c r="A72" t="s">
        <v>1349</v>
      </c>
      <c r="B72" t="s">
        <v>708</v>
      </c>
      <c r="C72" t="s">
        <v>709</v>
      </c>
      <c r="D72" t="s">
        <v>719</v>
      </c>
      <c r="E72" t="s">
        <v>1347</v>
      </c>
      <c r="F72" s="77">
        <v>0.77500000000000002</v>
      </c>
      <c r="G72" s="144">
        <v>85</v>
      </c>
      <c r="H72" s="151">
        <v>85</v>
      </c>
      <c r="I72" t="s">
        <v>1350</v>
      </c>
    </row>
    <row r="73" spans="1:9" x14ac:dyDescent="0.25">
      <c r="A73" t="s">
        <v>1351</v>
      </c>
      <c r="B73" t="s">
        <v>708</v>
      </c>
      <c r="C73" t="s">
        <v>709</v>
      </c>
      <c r="D73" t="s">
        <v>719</v>
      </c>
      <c r="E73" t="s">
        <v>1347</v>
      </c>
      <c r="F73" s="77">
        <v>0.77500000000000002</v>
      </c>
      <c r="G73" s="144">
        <v>85</v>
      </c>
      <c r="H73" s="151">
        <v>85</v>
      </c>
      <c r="I73" t="s">
        <v>1352</v>
      </c>
    </row>
    <row r="74" spans="1:9" x14ac:dyDescent="0.25">
      <c r="A74" t="s">
        <v>782</v>
      </c>
      <c r="B74" t="s">
        <v>783</v>
      </c>
      <c r="C74" t="s">
        <v>784</v>
      </c>
      <c r="D74" t="s">
        <v>719</v>
      </c>
      <c r="E74" t="s">
        <v>717</v>
      </c>
      <c r="F74" s="77"/>
      <c r="G74" s="144">
        <v>64</v>
      </c>
      <c r="H74" s="151">
        <v>73</v>
      </c>
      <c r="I74" t="s">
        <v>785</v>
      </c>
    </row>
    <row r="75" spans="1:9" x14ac:dyDescent="0.25">
      <c r="A75" t="s">
        <v>786</v>
      </c>
      <c r="B75" t="s">
        <v>783</v>
      </c>
      <c r="C75" t="s">
        <v>784</v>
      </c>
      <c r="D75" t="s">
        <v>717</v>
      </c>
      <c r="E75" t="s">
        <v>717</v>
      </c>
      <c r="F75" s="77"/>
      <c r="G75" s="144">
        <v>50</v>
      </c>
      <c r="H75" s="151">
        <v>59</v>
      </c>
      <c r="I75" t="s">
        <v>787</v>
      </c>
    </row>
    <row r="76" spans="1:9" x14ac:dyDescent="0.25">
      <c r="A76" t="s">
        <v>1225</v>
      </c>
      <c r="B76" t="s">
        <v>783</v>
      </c>
      <c r="C76" t="s">
        <v>784</v>
      </c>
      <c r="D76" t="s">
        <v>713</v>
      </c>
      <c r="E76" t="s">
        <v>232</v>
      </c>
      <c r="F76" s="77"/>
      <c r="G76" s="144">
        <v>64</v>
      </c>
      <c r="H76" s="151">
        <v>77</v>
      </c>
      <c r="I76" t="s">
        <v>1226</v>
      </c>
    </row>
    <row r="77" spans="1:9" x14ac:dyDescent="0.25">
      <c r="A77" t="s">
        <v>788</v>
      </c>
      <c r="B77" t="s">
        <v>708</v>
      </c>
      <c r="C77" t="s">
        <v>723</v>
      </c>
      <c r="D77" t="s">
        <v>710</v>
      </c>
      <c r="E77" t="s">
        <v>789</v>
      </c>
      <c r="F77" s="77">
        <v>0.74</v>
      </c>
      <c r="G77" s="144">
        <v>64</v>
      </c>
      <c r="H77" s="151">
        <v>72</v>
      </c>
      <c r="I77" t="s">
        <v>790</v>
      </c>
    </row>
    <row r="78" spans="1:9" x14ac:dyDescent="0.25">
      <c r="A78" t="s">
        <v>791</v>
      </c>
      <c r="B78" t="s">
        <v>708</v>
      </c>
      <c r="C78" t="s">
        <v>723</v>
      </c>
      <c r="D78" t="s">
        <v>717</v>
      </c>
      <c r="E78" t="s">
        <v>789</v>
      </c>
      <c r="F78" s="77">
        <v>0.74</v>
      </c>
      <c r="G78" s="144">
        <v>63</v>
      </c>
      <c r="H78" s="151">
        <v>75</v>
      </c>
      <c r="I78" t="s">
        <v>792</v>
      </c>
    </row>
    <row r="79" spans="1:9" x14ac:dyDescent="0.25">
      <c r="A79" t="s">
        <v>793</v>
      </c>
      <c r="B79" t="s">
        <v>708</v>
      </c>
      <c r="C79" t="s">
        <v>709</v>
      </c>
      <c r="D79" t="s">
        <v>717</v>
      </c>
      <c r="E79" t="s">
        <v>711</v>
      </c>
      <c r="F79" s="77">
        <v>0.77500000000000002</v>
      </c>
      <c r="G79" s="144">
        <v>68</v>
      </c>
      <c r="H79" s="151">
        <v>75</v>
      </c>
      <c r="I79" t="s">
        <v>794</v>
      </c>
    </row>
    <row r="80" spans="1:9" x14ac:dyDescent="0.25">
      <c r="A80" t="s">
        <v>1403</v>
      </c>
      <c r="B80" t="s">
        <v>783</v>
      </c>
      <c r="C80" t="s">
        <v>1251</v>
      </c>
      <c r="D80" t="s">
        <v>717</v>
      </c>
      <c r="E80" t="s">
        <v>717</v>
      </c>
      <c r="F80" s="77"/>
      <c r="G80" s="144">
        <v>57</v>
      </c>
      <c r="H80" s="151">
        <v>72</v>
      </c>
      <c r="I80" t="s">
        <v>1404</v>
      </c>
    </row>
    <row r="81" spans="1:9" x14ac:dyDescent="0.25">
      <c r="A81" t="s">
        <v>1388</v>
      </c>
      <c r="B81" t="s">
        <v>708</v>
      </c>
      <c r="C81" t="s">
        <v>723</v>
      </c>
      <c r="D81" t="s">
        <v>713</v>
      </c>
      <c r="E81" t="s">
        <v>1582</v>
      </c>
      <c r="F81" s="77">
        <v>0.755</v>
      </c>
      <c r="G81" s="144">
        <v>63</v>
      </c>
      <c r="H81" s="151">
        <v>72</v>
      </c>
      <c r="I81" t="s">
        <v>1583</v>
      </c>
    </row>
    <row r="82" spans="1:9" x14ac:dyDescent="0.25">
      <c r="A82" t="s">
        <v>1389</v>
      </c>
      <c r="B82" t="s">
        <v>708</v>
      </c>
      <c r="C82" t="s">
        <v>1239</v>
      </c>
      <c r="D82" t="s">
        <v>719</v>
      </c>
      <c r="E82" t="s">
        <v>719</v>
      </c>
      <c r="F82" s="77"/>
      <c r="G82" s="144">
        <v>60</v>
      </c>
      <c r="H82" s="151">
        <v>68</v>
      </c>
      <c r="I82" t="s">
        <v>1390</v>
      </c>
    </row>
    <row r="83" spans="1:9" x14ac:dyDescent="0.25">
      <c r="A83" t="s">
        <v>1416</v>
      </c>
      <c r="B83" t="s">
        <v>708</v>
      </c>
      <c r="C83" t="s">
        <v>723</v>
      </c>
      <c r="D83" t="s">
        <v>713</v>
      </c>
      <c r="E83" t="s">
        <v>851</v>
      </c>
      <c r="F83" s="77">
        <v>0.73</v>
      </c>
      <c r="G83" s="144">
        <v>48</v>
      </c>
      <c r="H83" s="151">
        <v>56</v>
      </c>
      <c r="I83" t="s">
        <v>1417</v>
      </c>
    </row>
    <row r="84" spans="1:9" x14ac:dyDescent="0.25">
      <c r="A84" t="s">
        <v>1353</v>
      </c>
      <c r="B84" t="s">
        <v>708</v>
      </c>
      <c r="C84" t="s">
        <v>1239</v>
      </c>
      <c r="E84" t="s">
        <v>232</v>
      </c>
      <c r="F84" s="77"/>
      <c r="G84" s="144" t="s">
        <v>232</v>
      </c>
      <c r="H84" s="151"/>
      <c r="I84" t="s">
        <v>1354</v>
      </c>
    </row>
    <row r="85" spans="1:9" x14ac:dyDescent="0.25">
      <c r="A85" t="s">
        <v>1355</v>
      </c>
      <c r="B85" t="s">
        <v>708</v>
      </c>
      <c r="C85" t="s">
        <v>1239</v>
      </c>
      <c r="E85" t="s">
        <v>232</v>
      </c>
      <c r="F85" s="77"/>
      <c r="G85" s="144">
        <v>60</v>
      </c>
      <c r="H85" s="151">
        <v>74</v>
      </c>
      <c r="I85" t="s">
        <v>1356</v>
      </c>
    </row>
    <row r="86" spans="1:9" x14ac:dyDescent="0.25">
      <c r="A86" t="s">
        <v>795</v>
      </c>
      <c r="B86" t="s">
        <v>708</v>
      </c>
      <c r="C86" t="s">
        <v>709</v>
      </c>
      <c r="D86" t="s">
        <v>710</v>
      </c>
      <c r="E86" t="s">
        <v>1391</v>
      </c>
      <c r="F86" s="77">
        <v>0.72</v>
      </c>
      <c r="G86" s="144">
        <v>68</v>
      </c>
      <c r="H86" s="151">
        <v>73</v>
      </c>
      <c r="I86" t="s">
        <v>796</v>
      </c>
    </row>
    <row r="87" spans="1:9" x14ac:dyDescent="0.25">
      <c r="A87" t="s">
        <v>1407</v>
      </c>
      <c r="B87" t="s">
        <v>708</v>
      </c>
      <c r="C87" t="s">
        <v>1239</v>
      </c>
      <c r="D87" t="s">
        <v>710</v>
      </c>
      <c r="E87" t="s">
        <v>710</v>
      </c>
      <c r="F87" s="77">
        <v>0.74</v>
      </c>
      <c r="G87" s="144">
        <v>64</v>
      </c>
      <c r="H87" s="151">
        <v>69</v>
      </c>
      <c r="I87" t="s">
        <v>1566</v>
      </c>
    </row>
    <row r="88" spans="1:9" x14ac:dyDescent="0.25">
      <c r="A88" t="s">
        <v>1408</v>
      </c>
      <c r="B88" t="s">
        <v>783</v>
      </c>
      <c r="C88" t="s">
        <v>1251</v>
      </c>
      <c r="D88" t="s">
        <v>717</v>
      </c>
      <c r="E88" t="s">
        <v>717</v>
      </c>
      <c r="F88" s="77"/>
      <c r="G88" s="144">
        <v>62</v>
      </c>
      <c r="H88" s="151">
        <v>74</v>
      </c>
      <c r="I88" t="s">
        <v>1409</v>
      </c>
    </row>
    <row r="89" spans="1:9" x14ac:dyDescent="0.25">
      <c r="A89" t="s">
        <v>797</v>
      </c>
      <c r="B89" t="s">
        <v>708</v>
      </c>
      <c r="C89" t="s">
        <v>709</v>
      </c>
      <c r="D89" t="s">
        <v>713</v>
      </c>
      <c r="E89" t="s">
        <v>720</v>
      </c>
      <c r="F89" s="77">
        <v>0.72499999999999998</v>
      </c>
      <c r="G89" s="144">
        <v>66</v>
      </c>
      <c r="H89" s="151">
        <v>70</v>
      </c>
      <c r="I89" t="s">
        <v>798</v>
      </c>
    </row>
    <row r="90" spans="1:9" x14ac:dyDescent="0.25">
      <c r="A90" t="s">
        <v>799</v>
      </c>
      <c r="B90" t="s">
        <v>708</v>
      </c>
      <c r="C90" t="s">
        <v>709</v>
      </c>
      <c r="D90" t="s">
        <v>710</v>
      </c>
      <c r="E90" t="s">
        <v>840</v>
      </c>
      <c r="F90" s="77">
        <v>0.76500000000000001</v>
      </c>
      <c r="G90" s="144">
        <v>68</v>
      </c>
      <c r="H90" s="151">
        <v>73</v>
      </c>
      <c r="I90" t="s">
        <v>800</v>
      </c>
    </row>
    <row r="91" spans="1:9" x14ac:dyDescent="0.25">
      <c r="A91" t="s">
        <v>1263</v>
      </c>
      <c r="B91" t="s">
        <v>708</v>
      </c>
      <c r="C91" t="s">
        <v>723</v>
      </c>
      <c r="D91" t="s">
        <v>717</v>
      </c>
      <c r="E91" t="s">
        <v>822</v>
      </c>
      <c r="F91" s="77">
        <v>0.69</v>
      </c>
      <c r="G91" s="144">
        <v>58</v>
      </c>
      <c r="H91" s="151">
        <v>68</v>
      </c>
      <c r="I91" t="s">
        <v>1264</v>
      </c>
    </row>
    <row r="92" spans="1:9" x14ac:dyDescent="0.25">
      <c r="A92" t="s">
        <v>1311</v>
      </c>
      <c r="B92" t="s">
        <v>708</v>
      </c>
      <c r="C92" t="s">
        <v>723</v>
      </c>
      <c r="D92" t="s">
        <v>710</v>
      </c>
      <c r="E92" t="s">
        <v>1584</v>
      </c>
      <c r="F92" s="77">
        <v>0.77</v>
      </c>
      <c r="G92" s="144">
        <v>65</v>
      </c>
      <c r="H92" s="151">
        <v>80</v>
      </c>
      <c r="I92" t="s">
        <v>1585</v>
      </c>
    </row>
    <row r="93" spans="1:9" x14ac:dyDescent="0.25">
      <c r="A93" t="s">
        <v>1227</v>
      </c>
      <c r="B93" t="s">
        <v>783</v>
      </c>
      <c r="C93" t="s">
        <v>1224</v>
      </c>
      <c r="D93" t="s">
        <v>724</v>
      </c>
      <c r="E93" t="s">
        <v>232</v>
      </c>
      <c r="F93" s="77"/>
      <c r="G93" s="144">
        <v>59</v>
      </c>
      <c r="H93" s="151">
        <v>77</v>
      </c>
      <c r="I93" t="s">
        <v>1228</v>
      </c>
    </row>
    <row r="94" spans="1:9" x14ac:dyDescent="0.25">
      <c r="A94" t="s">
        <v>1229</v>
      </c>
      <c r="B94" t="s">
        <v>783</v>
      </c>
      <c r="C94" t="s">
        <v>801</v>
      </c>
      <c r="D94" t="s">
        <v>717</v>
      </c>
      <c r="E94" t="s">
        <v>717</v>
      </c>
      <c r="F94" s="77"/>
      <c r="G94" s="144">
        <v>68</v>
      </c>
      <c r="H94" s="151">
        <v>80</v>
      </c>
      <c r="I94" t="s">
        <v>802</v>
      </c>
    </row>
    <row r="95" spans="1:9" x14ac:dyDescent="0.25">
      <c r="A95" t="s">
        <v>1265</v>
      </c>
      <c r="B95" t="s">
        <v>708</v>
      </c>
      <c r="C95" t="s">
        <v>709</v>
      </c>
      <c r="D95" t="s">
        <v>710</v>
      </c>
      <c r="E95" t="s">
        <v>711</v>
      </c>
      <c r="F95" s="77">
        <v>0.77500000000000002</v>
      </c>
      <c r="G95" s="144">
        <v>65</v>
      </c>
      <c r="H95" s="151">
        <v>70</v>
      </c>
      <c r="I95" t="s">
        <v>1266</v>
      </c>
    </row>
    <row r="96" spans="1:9" x14ac:dyDescent="0.25">
      <c r="A96" t="s">
        <v>1267</v>
      </c>
      <c r="B96" t="s">
        <v>708</v>
      </c>
      <c r="C96" t="s">
        <v>709</v>
      </c>
      <c r="D96" t="s">
        <v>719</v>
      </c>
      <c r="E96" t="s">
        <v>719</v>
      </c>
      <c r="F96" s="77">
        <v>0.68</v>
      </c>
      <c r="G96" s="144">
        <v>55</v>
      </c>
      <c r="H96" s="151">
        <v>58</v>
      </c>
      <c r="I96" t="s">
        <v>1268</v>
      </c>
    </row>
    <row r="97" spans="1:9" x14ac:dyDescent="0.25">
      <c r="A97" t="s">
        <v>1422</v>
      </c>
      <c r="B97" t="s">
        <v>708</v>
      </c>
      <c r="C97" t="s">
        <v>709</v>
      </c>
      <c r="D97" t="s">
        <v>710</v>
      </c>
      <c r="E97" t="s">
        <v>711</v>
      </c>
      <c r="F97" s="77">
        <v>0.77500000000000002</v>
      </c>
      <c r="G97" s="144">
        <v>50</v>
      </c>
      <c r="H97" s="151">
        <v>55</v>
      </c>
      <c r="I97" t="s">
        <v>1423</v>
      </c>
    </row>
    <row r="98" spans="1:9" x14ac:dyDescent="0.25">
      <c r="A98" t="s">
        <v>1424</v>
      </c>
      <c r="B98" t="s">
        <v>708</v>
      </c>
      <c r="C98" t="s">
        <v>723</v>
      </c>
      <c r="D98" t="s">
        <v>710</v>
      </c>
      <c r="E98" t="s">
        <v>1377</v>
      </c>
      <c r="F98" s="77">
        <v>0.72</v>
      </c>
      <c r="G98" s="144">
        <v>50</v>
      </c>
      <c r="H98" s="151">
        <v>58</v>
      </c>
      <c r="I98" t="s">
        <v>1425</v>
      </c>
    </row>
    <row r="99" spans="1:9" x14ac:dyDescent="0.25">
      <c r="A99" t="s">
        <v>1426</v>
      </c>
      <c r="B99" t="s">
        <v>708</v>
      </c>
      <c r="C99" t="s">
        <v>723</v>
      </c>
      <c r="D99" t="s">
        <v>719</v>
      </c>
      <c r="E99" t="s">
        <v>725</v>
      </c>
      <c r="F99" s="77">
        <v>0.75</v>
      </c>
      <c r="G99" s="144">
        <v>46</v>
      </c>
      <c r="H99" s="151">
        <v>56</v>
      </c>
      <c r="I99" t="s">
        <v>1427</v>
      </c>
    </row>
    <row r="100" spans="1:9" x14ac:dyDescent="0.25">
      <c r="A100" t="s">
        <v>1586</v>
      </c>
      <c r="B100" t="s">
        <v>708</v>
      </c>
      <c r="C100" t="s">
        <v>723</v>
      </c>
      <c r="D100" t="s">
        <v>719</v>
      </c>
      <c r="E100" t="s">
        <v>1555</v>
      </c>
      <c r="F100" s="77">
        <v>0.75</v>
      </c>
      <c r="G100" s="144">
        <v>60</v>
      </c>
      <c r="H100" s="151">
        <v>70</v>
      </c>
      <c r="I100" t="s">
        <v>1587</v>
      </c>
    </row>
    <row r="101" spans="1:9" x14ac:dyDescent="0.25">
      <c r="A101" t="s">
        <v>803</v>
      </c>
      <c r="B101" t="s">
        <v>708</v>
      </c>
      <c r="C101" t="s">
        <v>709</v>
      </c>
      <c r="D101" t="s">
        <v>717</v>
      </c>
      <c r="E101" t="s">
        <v>804</v>
      </c>
      <c r="F101" s="77">
        <v>0.75</v>
      </c>
      <c r="G101" s="144">
        <v>65</v>
      </c>
      <c r="H101" s="151">
        <v>70</v>
      </c>
      <c r="I101" t="s">
        <v>805</v>
      </c>
    </row>
    <row r="102" spans="1:9" x14ac:dyDescent="0.25">
      <c r="A102" t="s">
        <v>806</v>
      </c>
      <c r="B102" t="s">
        <v>708</v>
      </c>
      <c r="C102" t="s">
        <v>709</v>
      </c>
      <c r="D102" t="s">
        <v>710</v>
      </c>
      <c r="E102" t="s">
        <v>807</v>
      </c>
      <c r="F102" s="77">
        <v>0.68500000000000005</v>
      </c>
      <c r="G102" s="144">
        <v>65</v>
      </c>
      <c r="H102" s="151">
        <v>69</v>
      </c>
      <c r="I102" t="s">
        <v>808</v>
      </c>
    </row>
    <row r="103" spans="1:9" x14ac:dyDescent="0.25">
      <c r="A103" t="s">
        <v>810</v>
      </c>
      <c r="B103" t="s">
        <v>708</v>
      </c>
      <c r="C103" t="s">
        <v>709</v>
      </c>
      <c r="D103" t="s">
        <v>724</v>
      </c>
      <c r="E103" t="s">
        <v>720</v>
      </c>
      <c r="F103" s="77">
        <v>0.72499999999999998</v>
      </c>
      <c r="G103" s="144">
        <v>68</v>
      </c>
      <c r="H103" s="151">
        <v>73</v>
      </c>
      <c r="I103" t="s">
        <v>811</v>
      </c>
    </row>
    <row r="104" spans="1:9" x14ac:dyDescent="0.25">
      <c r="A104" t="s">
        <v>1230</v>
      </c>
      <c r="B104" t="s">
        <v>708</v>
      </c>
      <c r="C104" t="s">
        <v>709</v>
      </c>
      <c r="D104" t="s">
        <v>713</v>
      </c>
      <c r="E104" t="s">
        <v>710</v>
      </c>
      <c r="F104" s="77">
        <v>0.77500000000000002</v>
      </c>
      <c r="G104" s="144">
        <v>66</v>
      </c>
      <c r="H104" s="151">
        <v>70</v>
      </c>
      <c r="I104" t="s">
        <v>1231</v>
      </c>
    </row>
    <row r="105" spans="1:9" x14ac:dyDescent="0.25">
      <c r="A105" t="s">
        <v>812</v>
      </c>
      <c r="B105" t="s">
        <v>708</v>
      </c>
      <c r="C105" t="s">
        <v>709</v>
      </c>
      <c r="D105" t="s">
        <v>710</v>
      </c>
      <c r="E105" t="s">
        <v>720</v>
      </c>
      <c r="F105" s="77">
        <v>0.72499999999999998</v>
      </c>
      <c r="G105" s="144">
        <v>65</v>
      </c>
      <c r="H105" s="151">
        <v>70</v>
      </c>
      <c r="I105" t="s">
        <v>813</v>
      </c>
    </row>
    <row r="106" spans="1:9" x14ac:dyDescent="0.25">
      <c r="A106" t="s">
        <v>1410</v>
      </c>
      <c r="B106" t="s">
        <v>708</v>
      </c>
      <c r="C106" t="s">
        <v>709</v>
      </c>
      <c r="D106" t="s">
        <v>713</v>
      </c>
      <c r="E106" t="s">
        <v>1411</v>
      </c>
      <c r="F106" s="77">
        <v>0.72499999999999998</v>
      </c>
      <c r="G106" s="144">
        <v>68</v>
      </c>
      <c r="H106" s="151">
        <v>72</v>
      </c>
      <c r="I106" t="s">
        <v>1412</v>
      </c>
    </row>
    <row r="107" spans="1:9" x14ac:dyDescent="0.25">
      <c r="A107" t="s">
        <v>814</v>
      </c>
      <c r="B107" t="s">
        <v>708</v>
      </c>
      <c r="C107" t="s">
        <v>716</v>
      </c>
      <c r="D107" t="s">
        <v>710</v>
      </c>
      <c r="E107" t="s">
        <v>717</v>
      </c>
      <c r="F107" s="77"/>
      <c r="G107" s="144">
        <v>59</v>
      </c>
      <c r="H107" s="151">
        <v>68</v>
      </c>
      <c r="I107" t="s">
        <v>815</v>
      </c>
    </row>
    <row r="108" spans="1:9" x14ac:dyDescent="0.25">
      <c r="A108" t="s">
        <v>816</v>
      </c>
      <c r="B108" t="s">
        <v>708</v>
      </c>
      <c r="C108" t="s">
        <v>709</v>
      </c>
      <c r="D108" t="s">
        <v>832</v>
      </c>
      <c r="E108" t="s">
        <v>1392</v>
      </c>
      <c r="F108" s="77">
        <v>0.66500000000000004</v>
      </c>
      <c r="G108" s="144">
        <v>65</v>
      </c>
      <c r="H108" s="151">
        <v>68</v>
      </c>
      <c r="I108" t="s">
        <v>817</v>
      </c>
    </row>
    <row r="109" spans="1:9" x14ac:dyDescent="0.25">
      <c r="A109" t="s">
        <v>1393</v>
      </c>
      <c r="B109" t="s">
        <v>708</v>
      </c>
      <c r="C109" t="s">
        <v>723</v>
      </c>
      <c r="D109" t="s">
        <v>717</v>
      </c>
      <c r="E109" t="s">
        <v>1588</v>
      </c>
      <c r="F109" s="77">
        <v>0.7</v>
      </c>
      <c r="G109" s="144">
        <v>64</v>
      </c>
      <c r="H109" s="151">
        <v>72</v>
      </c>
      <c r="I109" t="s">
        <v>1589</v>
      </c>
    </row>
    <row r="110" spans="1:9" x14ac:dyDescent="0.25">
      <c r="A110" t="s">
        <v>819</v>
      </c>
      <c r="B110" t="s">
        <v>708</v>
      </c>
      <c r="C110" t="s">
        <v>709</v>
      </c>
      <c r="D110" t="s">
        <v>713</v>
      </c>
      <c r="E110" t="s">
        <v>820</v>
      </c>
      <c r="F110" s="77">
        <v>0.73499999999999999</v>
      </c>
      <c r="G110" s="144">
        <v>66</v>
      </c>
      <c r="H110" s="151">
        <v>70</v>
      </c>
      <c r="I110" t="s">
        <v>821</v>
      </c>
    </row>
    <row r="111" spans="1:9" x14ac:dyDescent="0.25">
      <c r="A111" t="s">
        <v>823</v>
      </c>
      <c r="B111" t="s">
        <v>708</v>
      </c>
      <c r="C111" t="s">
        <v>709</v>
      </c>
      <c r="D111" t="s">
        <v>710</v>
      </c>
      <c r="E111" t="s">
        <v>824</v>
      </c>
      <c r="F111" s="77">
        <v>0.67500000000000004</v>
      </c>
      <c r="G111" s="144">
        <v>65</v>
      </c>
      <c r="H111" s="151">
        <v>70</v>
      </c>
      <c r="I111" t="s">
        <v>825</v>
      </c>
    </row>
    <row r="112" spans="1:9" x14ac:dyDescent="0.25">
      <c r="A112" t="s">
        <v>1269</v>
      </c>
      <c r="B112" t="s">
        <v>708</v>
      </c>
      <c r="C112" t="s">
        <v>723</v>
      </c>
      <c r="D112" t="s">
        <v>719</v>
      </c>
      <c r="E112" t="s">
        <v>1578</v>
      </c>
      <c r="F112" s="77">
        <v>0.75</v>
      </c>
      <c r="G112" s="144">
        <v>46</v>
      </c>
      <c r="H112" s="151">
        <v>56</v>
      </c>
      <c r="I112" t="s">
        <v>1590</v>
      </c>
    </row>
    <row r="113" spans="1:9" x14ac:dyDescent="0.25">
      <c r="A113" t="s">
        <v>1591</v>
      </c>
      <c r="B113" t="s">
        <v>708</v>
      </c>
      <c r="C113" t="s">
        <v>723</v>
      </c>
      <c r="D113" t="s">
        <v>710</v>
      </c>
      <c r="E113" t="s">
        <v>1572</v>
      </c>
      <c r="F113" s="77">
        <v>0.76500000000000001</v>
      </c>
      <c r="G113" s="144">
        <v>70</v>
      </c>
      <c r="H113" s="151">
        <v>84</v>
      </c>
      <c r="I113" t="s">
        <v>1592</v>
      </c>
    </row>
    <row r="114" spans="1:9" x14ac:dyDescent="0.25">
      <c r="A114" t="s">
        <v>1312</v>
      </c>
      <c r="B114" t="s">
        <v>708</v>
      </c>
      <c r="C114" t="s">
        <v>1239</v>
      </c>
      <c r="E114" t="s">
        <v>232</v>
      </c>
      <c r="F114" s="77"/>
      <c r="G114" s="144" t="s">
        <v>232</v>
      </c>
      <c r="H114" s="151"/>
      <c r="I114" t="s">
        <v>1313</v>
      </c>
    </row>
    <row r="115" spans="1:9" x14ac:dyDescent="0.25">
      <c r="A115" t="s">
        <v>1314</v>
      </c>
      <c r="B115" t="s">
        <v>708</v>
      </c>
      <c r="C115" t="s">
        <v>723</v>
      </c>
      <c r="D115" t="s">
        <v>724</v>
      </c>
      <c r="E115" t="s">
        <v>1593</v>
      </c>
      <c r="F115" s="77">
        <v>0.76</v>
      </c>
      <c r="G115" s="144">
        <v>64</v>
      </c>
      <c r="H115" s="151">
        <v>80</v>
      </c>
      <c r="I115" t="s">
        <v>1594</v>
      </c>
    </row>
    <row r="116" spans="1:9" x14ac:dyDescent="0.25">
      <c r="A116" t="s">
        <v>1315</v>
      </c>
      <c r="B116" t="s">
        <v>708</v>
      </c>
      <c r="C116" t="s">
        <v>709</v>
      </c>
      <c r="D116" t="s">
        <v>724</v>
      </c>
      <c r="E116" t="s">
        <v>717</v>
      </c>
      <c r="F116" s="77"/>
      <c r="G116" s="144">
        <v>68</v>
      </c>
      <c r="H116" s="151">
        <v>80</v>
      </c>
      <c r="I116" t="s">
        <v>1316</v>
      </c>
    </row>
    <row r="117" spans="1:9" x14ac:dyDescent="0.25">
      <c r="A117" t="s">
        <v>1357</v>
      </c>
      <c r="B117" t="s">
        <v>708</v>
      </c>
      <c r="C117" t="s">
        <v>1239</v>
      </c>
      <c r="E117" t="s">
        <v>232</v>
      </c>
      <c r="F117" s="77"/>
      <c r="G117" s="144">
        <v>60</v>
      </c>
      <c r="H117" s="151">
        <v>74</v>
      </c>
      <c r="I117" t="s">
        <v>1358</v>
      </c>
    </row>
    <row r="118" spans="1:9" x14ac:dyDescent="0.25">
      <c r="A118" t="s">
        <v>827</v>
      </c>
      <c r="B118" t="s">
        <v>708</v>
      </c>
      <c r="C118" t="s">
        <v>723</v>
      </c>
      <c r="D118" t="s">
        <v>719</v>
      </c>
      <c r="E118" t="s">
        <v>725</v>
      </c>
      <c r="F118" s="77">
        <v>0.75</v>
      </c>
      <c r="G118" s="144">
        <v>63</v>
      </c>
      <c r="H118" s="151">
        <v>76</v>
      </c>
      <c r="I118" t="s">
        <v>828</v>
      </c>
    </row>
    <row r="119" spans="1:9" x14ac:dyDescent="0.25">
      <c r="A119" t="s">
        <v>1317</v>
      </c>
      <c r="B119" t="s">
        <v>708</v>
      </c>
      <c r="C119" t="s">
        <v>709</v>
      </c>
      <c r="D119" t="s">
        <v>713</v>
      </c>
      <c r="E119" t="s">
        <v>719</v>
      </c>
      <c r="F119" s="77"/>
      <c r="G119" s="144">
        <v>63</v>
      </c>
      <c r="H119" s="151">
        <v>73</v>
      </c>
      <c r="I119" t="s">
        <v>1318</v>
      </c>
    </row>
    <row r="120" spans="1:9" x14ac:dyDescent="0.25">
      <c r="A120" t="s">
        <v>1319</v>
      </c>
      <c r="B120" t="s">
        <v>708</v>
      </c>
      <c r="C120" t="s">
        <v>723</v>
      </c>
      <c r="D120" t="s">
        <v>719</v>
      </c>
      <c r="E120" t="s">
        <v>1595</v>
      </c>
      <c r="F120" s="77">
        <v>0.8</v>
      </c>
      <c r="G120" s="144">
        <v>65</v>
      </c>
      <c r="H120" s="151">
        <v>77</v>
      </c>
      <c r="I120" t="s">
        <v>1596</v>
      </c>
    </row>
    <row r="121" spans="1:9" x14ac:dyDescent="0.25">
      <c r="A121" t="s">
        <v>829</v>
      </c>
      <c r="B121" t="s">
        <v>708</v>
      </c>
      <c r="C121" t="s">
        <v>723</v>
      </c>
      <c r="D121" t="s">
        <v>719</v>
      </c>
      <c r="E121" t="s">
        <v>725</v>
      </c>
      <c r="F121" s="77">
        <v>0.75</v>
      </c>
      <c r="G121" s="144">
        <v>55</v>
      </c>
      <c r="H121" s="151">
        <v>68</v>
      </c>
      <c r="I121" t="s">
        <v>830</v>
      </c>
    </row>
    <row r="122" spans="1:9" x14ac:dyDescent="0.25">
      <c r="A122" t="s">
        <v>831</v>
      </c>
      <c r="B122" t="s">
        <v>708</v>
      </c>
      <c r="C122" t="s">
        <v>709</v>
      </c>
      <c r="D122" t="s">
        <v>710</v>
      </c>
      <c r="E122" t="s">
        <v>833</v>
      </c>
      <c r="F122" s="77">
        <v>0.75</v>
      </c>
      <c r="G122" s="144">
        <v>65</v>
      </c>
      <c r="H122" s="151">
        <v>69</v>
      </c>
      <c r="I122" t="s">
        <v>834</v>
      </c>
    </row>
    <row r="123" spans="1:9" x14ac:dyDescent="0.25">
      <c r="A123" t="s">
        <v>1372</v>
      </c>
      <c r="B123" t="s">
        <v>708</v>
      </c>
      <c r="C123" t="s">
        <v>709</v>
      </c>
      <c r="D123" t="s">
        <v>710</v>
      </c>
      <c r="E123" t="s">
        <v>749</v>
      </c>
      <c r="F123" s="77">
        <v>0.73</v>
      </c>
      <c r="G123" s="144">
        <v>48</v>
      </c>
      <c r="H123" s="151">
        <v>55</v>
      </c>
      <c r="I123" t="s">
        <v>1373</v>
      </c>
    </row>
    <row r="124" spans="1:9" x14ac:dyDescent="0.25">
      <c r="A124" t="s">
        <v>1374</v>
      </c>
      <c r="B124" t="s">
        <v>708</v>
      </c>
      <c r="C124" t="s">
        <v>709</v>
      </c>
      <c r="D124" t="s">
        <v>710</v>
      </c>
      <c r="E124" t="s">
        <v>809</v>
      </c>
      <c r="F124" s="77">
        <v>0.76500000000000001</v>
      </c>
      <c r="G124" s="144">
        <v>50</v>
      </c>
      <c r="H124" s="151">
        <v>55</v>
      </c>
      <c r="I124" t="s">
        <v>1375</v>
      </c>
    </row>
    <row r="125" spans="1:9" x14ac:dyDescent="0.25">
      <c r="A125" t="s">
        <v>835</v>
      </c>
      <c r="B125" t="s">
        <v>708</v>
      </c>
      <c r="C125" t="s">
        <v>723</v>
      </c>
      <c r="D125" t="s">
        <v>717</v>
      </c>
      <c r="E125" t="s">
        <v>725</v>
      </c>
      <c r="F125" s="77">
        <v>0.75</v>
      </c>
      <c r="G125" s="144">
        <v>63</v>
      </c>
      <c r="H125" s="151">
        <v>75</v>
      </c>
      <c r="I125" t="s">
        <v>836</v>
      </c>
    </row>
    <row r="126" spans="1:9" x14ac:dyDescent="0.25">
      <c r="A126" t="s">
        <v>837</v>
      </c>
      <c r="B126" t="s">
        <v>708</v>
      </c>
      <c r="C126" t="s">
        <v>709</v>
      </c>
      <c r="D126" t="s">
        <v>724</v>
      </c>
      <c r="E126" t="s">
        <v>730</v>
      </c>
      <c r="F126" s="77">
        <v>0.74</v>
      </c>
      <c r="G126" s="144">
        <v>68</v>
      </c>
      <c r="H126" s="151">
        <v>72</v>
      </c>
      <c r="I126" t="s">
        <v>838</v>
      </c>
    </row>
    <row r="127" spans="1:9" x14ac:dyDescent="0.25">
      <c r="A127" t="s">
        <v>839</v>
      </c>
      <c r="B127" t="s">
        <v>708</v>
      </c>
      <c r="C127" t="s">
        <v>709</v>
      </c>
      <c r="D127" t="s">
        <v>719</v>
      </c>
      <c r="E127" t="s">
        <v>840</v>
      </c>
      <c r="F127" s="77">
        <v>0.76500000000000001</v>
      </c>
      <c r="G127" s="144">
        <v>66</v>
      </c>
      <c r="H127" s="151">
        <v>70</v>
      </c>
      <c r="I127" t="s">
        <v>841</v>
      </c>
    </row>
    <row r="128" spans="1:9" x14ac:dyDescent="0.25">
      <c r="A128" t="s">
        <v>1597</v>
      </c>
      <c r="B128" t="s">
        <v>708</v>
      </c>
      <c r="C128" t="s">
        <v>723</v>
      </c>
      <c r="D128" t="s">
        <v>710</v>
      </c>
      <c r="E128" t="s">
        <v>1598</v>
      </c>
      <c r="F128" s="77">
        <v>0.72</v>
      </c>
      <c r="G128" s="144">
        <v>48</v>
      </c>
      <c r="H128" s="151">
        <v>56</v>
      </c>
      <c r="I128" t="s">
        <v>1599</v>
      </c>
    </row>
    <row r="129" spans="1:9" x14ac:dyDescent="0.25">
      <c r="A129" t="s">
        <v>842</v>
      </c>
      <c r="B129" t="s">
        <v>708</v>
      </c>
      <c r="C129" t="s">
        <v>723</v>
      </c>
      <c r="D129" t="s">
        <v>710</v>
      </c>
      <c r="E129" t="s">
        <v>851</v>
      </c>
      <c r="F129" s="77">
        <v>0.73</v>
      </c>
      <c r="G129" s="144">
        <v>62</v>
      </c>
      <c r="H129" s="151">
        <v>72</v>
      </c>
      <c r="I129" t="s">
        <v>843</v>
      </c>
    </row>
    <row r="130" spans="1:9" x14ac:dyDescent="0.25">
      <c r="A130" t="s">
        <v>844</v>
      </c>
      <c r="B130" t="s">
        <v>708</v>
      </c>
      <c r="C130" t="s">
        <v>709</v>
      </c>
      <c r="D130" t="s">
        <v>713</v>
      </c>
      <c r="E130" t="s">
        <v>1413</v>
      </c>
      <c r="F130" s="77">
        <v>0.71499999999999997</v>
      </c>
      <c r="G130" s="144">
        <v>65</v>
      </c>
      <c r="H130" s="151">
        <v>68</v>
      </c>
      <c r="I130" t="s">
        <v>845</v>
      </c>
    </row>
    <row r="131" spans="1:9" x14ac:dyDescent="0.25">
      <c r="A131" t="s">
        <v>1570</v>
      </c>
      <c r="B131" t="s">
        <v>708</v>
      </c>
      <c r="C131" t="s">
        <v>1239</v>
      </c>
      <c r="D131" t="s">
        <v>717</v>
      </c>
      <c r="F131" s="77">
        <v>0.75</v>
      </c>
      <c r="G131" s="144">
        <v>46</v>
      </c>
      <c r="H131" s="151">
        <v>54</v>
      </c>
      <c r="I131" t="s">
        <v>1571</v>
      </c>
    </row>
    <row r="132" spans="1:9" x14ac:dyDescent="0.25">
      <c r="A132" t="s">
        <v>846</v>
      </c>
      <c r="B132" t="s">
        <v>708</v>
      </c>
      <c r="C132" t="s">
        <v>723</v>
      </c>
      <c r="D132" t="s">
        <v>719</v>
      </c>
      <c r="E132" t="s">
        <v>725</v>
      </c>
      <c r="F132" s="77">
        <v>0.75</v>
      </c>
      <c r="G132" s="144">
        <v>56</v>
      </c>
      <c r="H132" s="151">
        <v>70</v>
      </c>
      <c r="I132" t="s">
        <v>847</v>
      </c>
    </row>
    <row r="133" spans="1:9" x14ac:dyDescent="0.25">
      <c r="A133" t="s">
        <v>1600</v>
      </c>
      <c r="B133" t="s">
        <v>708</v>
      </c>
      <c r="C133" t="s">
        <v>723</v>
      </c>
      <c r="D133" t="s">
        <v>719</v>
      </c>
      <c r="E133" t="s">
        <v>1578</v>
      </c>
      <c r="F133" s="77">
        <v>0.75</v>
      </c>
      <c r="G133" s="144">
        <v>56</v>
      </c>
      <c r="H133" s="151">
        <v>70</v>
      </c>
      <c r="I133" t="s">
        <v>1601</v>
      </c>
    </row>
    <row r="134" spans="1:9" x14ac:dyDescent="0.25">
      <c r="A134" t="s">
        <v>1448</v>
      </c>
      <c r="B134" t="s">
        <v>708</v>
      </c>
      <c r="C134" t="s">
        <v>1239</v>
      </c>
      <c r="D134" t="s">
        <v>717</v>
      </c>
      <c r="E134" t="s">
        <v>710</v>
      </c>
      <c r="F134" s="77">
        <v>0.76500000000000001</v>
      </c>
      <c r="G134" s="144">
        <v>58</v>
      </c>
      <c r="H134" s="151">
        <v>66</v>
      </c>
      <c r="I134" t="s">
        <v>1567</v>
      </c>
    </row>
    <row r="135" spans="1:9" x14ac:dyDescent="0.25">
      <c r="A135" t="s">
        <v>1359</v>
      </c>
      <c r="B135" t="s">
        <v>708</v>
      </c>
      <c r="C135" t="s">
        <v>723</v>
      </c>
      <c r="E135" t="s">
        <v>232</v>
      </c>
      <c r="F135" s="77"/>
      <c r="G135" s="144">
        <v>60</v>
      </c>
      <c r="H135" s="151">
        <v>95</v>
      </c>
      <c r="I135" t="s">
        <v>1360</v>
      </c>
    </row>
    <row r="136" spans="1:9" x14ac:dyDescent="0.25">
      <c r="A136" t="s">
        <v>1320</v>
      </c>
      <c r="B136" t="s">
        <v>708</v>
      </c>
      <c r="C136" t="s">
        <v>723</v>
      </c>
      <c r="D136" t="s">
        <v>719</v>
      </c>
      <c r="E136" t="s">
        <v>1602</v>
      </c>
      <c r="F136" s="77">
        <v>0.73</v>
      </c>
      <c r="G136" s="144">
        <v>64</v>
      </c>
      <c r="H136" s="151">
        <v>75</v>
      </c>
      <c r="I136" t="s">
        <v>1603</v>
      </c>
    </row>
    <row r="137" spans="1:9" x14ac:dyDescent="0.25">
      <c r="A137" t="s">
        <v>848</v>
      </c>
      <c r="B137" t="s">
        <v>708</v>
      </c>
      <c r="C137" t="s">
        <v>723</v>
      </c>
      <c r="D137" t="s">
        <v>724</v>
      </c>
      <c r="E137" t="s">
        <v>725</v>
      </c>
      <c r="F137" s="77">
        <v>0.75</v>
      </c>
      <c r="G137" s="144">
        <v>60</v>
      </c>
      <c r="H137" s="151">
        <v>72</v>
      </c>
      <c r="I137" t="s">
        <v>849</v>
      </c>
    </row>
    <row r="138" spans="1:9" x14ac:dyDescent="0.25">
      <c r="A138" t="s">
        <v>850</v>
      </c>
      <c r="B138" t="s">
        <v>708</v>
      </c>
      <c r="C138" t="s">
        <v>723</v>
      </c>
      <c r="D138" t="s">
        <v>717</v>
      </c>
      <c r="E138" t="s">
        <v>851</v>
      </c>
      <c r="F138" s="77">
        <v>0.73</v>
      </c>
      <c r="G138" s="144">
        <v>64</v>
      </c>
      <c r="H138" s="151">
        <v>74</v>
      </c>
      <c r="I138" t="s">
        <v>852</v>
      </c>
    </row>
    <row r="139" spans="1:9" x14ac:dyDescent="0.25">
      <c r="A139" t="s">
        <v>853</v>
      </c>
      <c r="B139" t="s">
        <v>708</v>
      </c>
      <c r="C139" t="s">
        <v>709</v>
      </c>
      <c r="D139" t="s">
        <v>710</v>
      </c>
      <c r="E139" t="s">
        <v>854</v>
      </c>
      <c r="F139" s="77">
        <v>0.71</v>
      </c>
      <c r="G139" s="144">
        <v>66</v>
      </c>
      <c r="H139" s="151">
        <v>71</v>
      </c>
      <c r="I139" t="s">
        <v>855</v>
      </c>
    </row>
    <row r="140" spans="1:9" x14ac:dyDescent="0.25">
      <c r="A140" t="s">
        <v>856</v>
      </c>
      <c r="B140" t="s">
        <v>708</v>
      </c>
      <c r="C140" t="s">
        <v>723</v>
      </c>
      <c r="D140" t="s">
        <v>717</v>
      </c>
      <c r="E140" t="s">
        <v>822</v>
      </c>
      <c r="F140" s="77">
        <v>0.69</v>
      </c>
      <c r="G140" s="56">
        <v>64</v>
      </c>
      <c r="H140" s="152">
        <v>72</v>
      </c>
      <c r="I140" t="s">
        <v>857</v>
      </c>
    </row>
    <row r="141" spans="1:9" x14ac:dyDescent="0.25">
      <c r="A141" t="s">
        <v>1232</v>
      </c>
      <c r="B141" t="s">
        <v>708</v>
      </c>
      <c r="C141" t="s">
        <v>1233</v>
      </c>
      <c r="D141" t="s">
        <v>717</v>
      </c>
      <c r="E141" t="s">
        <v>804</v>
      </c>
      <c r="F141" s="77">
        <v>0.75</v>
      </c>
      <c r="G141" s="144">
        <v>68</v>
      </c>
      <c r="H141" s="151">
        <v>75</v>
      </c>
      <c r="I141" t="s">
        <v>1234</v>
      </c>
    </row>
    <row r="142" spans="1:9" x14ac:dyDescent="0.25">
      <c r="A142" t="s">
        <v>1414</v>
      </c>
      <c r="B142" t="s">
        <v>708</v>
      </c>
      <c r="C142" t="s">
        <v>709</v>
      </c>
      <c r="D142" t="s">
        <v>713</v>
      </c>
      <c r="E142" t="s">
        <v>710</v>
      </c>
      <c r="F142" s="77">
        <v>0.72</v>
      </c>
      <c r="G142" s="144">
        <v>65</v>
      </c>
      <c r="H142" s="151">
        <v>70</v>
      </c>
      <c r="I142" t="s">
        <v>1415</v>
      </c>
    </row>
    <row r="143" spans="1:9" x14ac:dyDescent="0.25">
      <c r="A143" t="s">
        <v>1270</v>
      </c>
      <c r="B143" t="s">
        <v>708</v>
      </c>
      <c r="C143" t="s">
        <v>709</v>
      </c>
      <c r="D143" t="s">
        <v>710</v>
      </c>
      <c r="E143" t="s">
        <v>1271</v>
      </c>
      <c r="F143" s="77">
        <v>0.74</v>
      </c>
      <c r="G143" s="144">
        <v>50</v>
      </c>
      <c r="H143" s="151">
        <v>55</v>
      </c>
      <c r="I143" t="s">
        <v>1272</v>
      </c>
    </row>
    <row r="144" spans="1:9" x14ac:dyDescent="0.25">
      <c r="A144" s="24" t="s">
        <v>1642</v>
      </c>
      <c r="B144" t="s">
        <v>783</v>
      </c>
      <c r="C144" t="s">
        <v>1224</v>
      </c>
      <c r="D144" t="s">
        <v>1454</v>
      </c>
      <c r="E144" t="s">
        <v>710</v>
      </c>
      <c r="F144" s="77">
        <v>0.7</v>
      </c>
      <c r="G144" s="144">
        <v>63</v>
      </c>
      <c r="H144" s="151">
        <v>72</v>
      </c>
      <c r="I144" t="s">
        <v>1455</v>
      </c>
    </row>
    <row r="145" spans="1:9" x14ac:dyDescent="0.25">
      <c r="A145" t="s">
        <v>1418</v>
      </c>
      <c r="B145" t="s">
        <v>708</v>
      </c>
      <c r="C145" t="s">
        <v>1239</v>
      </c>
      <c r="D145" t="s">
        <v>710</v>
      </c>
      <c r="E145" t="s">
        <v>710</v>
      </c>
      <c r="F145" s="77"/>
      <c r="G145" s="144">
        <v>46</v>
      </c>
      <c r="H145" s="151">
        <v>54</v>
      </c>
      <c r="I145" t="s">
        <v>1419</v>
      </c>
    </row>
    <row r="146" spans="1:9" x14ac:dyDescent="0.25">
      <c r="A146" t="s">
        <v>1273</v>
      </c>
      <c r="B146" t="s">
        <v>708</v>
      </c>
      <c r="C146" t="s">
        <v>709</v>
      </c>
      <c r="D146" t="s">
        <v>710</v>
      </c>
      <c r="E146" t="s">
        <v>710</v>
      </c>
      <c r="F146" s="77">
        <v>0.7</v>
      </c>
      <c r="G146" s="144">
        <v>48</v>
      </c>
      <c r="H146" s="151">
        <v>52</v>
      </c>
      <c r="I146" t="s">
        <v>1274</v>
      </c>
    </row>
    <row r="147" spans="1:9" x14ac:dyDescent="0.25">
      <c r="A147" t="s">
        <v>1376</v>
      </c>
      <c r="B147" t="s">
        <v>708</v>
      </c>
      <c r="C147" t="s">
        <v>723</v>
      </c>
      <c r="D147" t="s">
        <v>710</v>
      </c>
      <c r="E147" t="s">
        <v>1377</v>
      </c>
      <c r="F147" s="77">
        <v>0.72</v>
      </c>
      <c r="G147" s="144">
        <v>48</v>
      </c>
      <c r="H147" s="151">
        <v>56</v>
      </c>
      <c r="I147" t="s">
        <v>1378</v>
      </c>
    </row>
    <row r="148" spans="1:9" x14ac:dyDescent="0.25">
      <c r="A148" t="s">
        <v>1379</v>
      </c>
      <c r="B148" t="s">
        <v>708</v>
      </c>
      <c r="C148" t="s">
        <v>723</v>
      </c>
      <c r="D148" t="s">
        <v>710</v>
      </c>
      <c r="E148" t="s">
        <v>1604</v>
      </c>
      <c r="F148" s="77">
        <v>0.73</v>
      </c>
      <c r="G148" s="144">
        <v>52</v>
      </c>
      <c r="H148" s="151">
        <v>62</v>
      </c>
      <c r="I148" t="s">
        <v>1380</v>
      </c>
    </row>
    <row r="149" spans="1:9" x14ac:dyDescent="0.25">
      <c r="A149" t="s">
        <v>858</v>
      </c>
      <c r="B149" t="s">
        <v>783</v>
      </c>
      <c r="C149" t="s">
        <v>859</v>
      </c>
      <c r="D149" t="s">
        <v>717</v>
      </c>
      <c r="E149" t="s">
        <v>717</v>
      </c>
      <c r="F149" s="77"/>
      <c r="G149" s="144">
        <v>57</v>
      </c>
      <c r="H149" s="151">
        <v>77</v>
      </c>
      <c r="I149" t="s">
        <v>860</v>
      </c>
    </row>
    <row r="150" spans="1:9" x14ac:dyDescent="0.25">
      <c r="A150" t="s">
        <v>861</v>
      </c>
      <c r="B150" t="s">
        <v>783</v>
      </c>
      <c r="C150" t="s">
        <v>859</v>
      </c>
      <c r="D150" t="s">
        <v>717</v>
      </c>
      <c r="E150" t="s">
        <v>717</v>
      </c>
      <c r="F150" s="77"/>
      <c r="G150" s="144">
        <v>57</v>
      </c>
      <c r="H150" s="151">
        <v>77</v>
      </c>
      <c r="I150" t="s">
        <v>862</v>
      </c>
    </row>
    <row r="151" spans="1:9" x14ac:dyDescent="0.25">
      <c r="A151" t="s">
        <v>1235</v>
      </c>
      <c r="B151" t="s">
        <v>708</v>
      </c>
      <c r="C151" t="s">
        <v>709</v>
      </c>
      <c r="D151" t="s">
        <v>710</v>
      </c>
      <c r="E151" t="s">
        <v>1236</v>
      </c>
      <c r="F151" s="77">
        <v>0.80500000000000005</v>
      </c>
      <c r="G151" s="144">
        <v>76</v>
      </c>
      <c r="H151" s="151">
        <v>85</v>
      </c>
      <c r="I151" t="s">
        <v>1237</v>
      </c>
    </row>
    <row r="152" spans="1:9" x14ac:dyDescent="0.25">
      <c r="A152" t="s">
        <v>1394</v>
      </c>
      <c r="B152" t="s">
        <v>783</v>
      </c>
      <c r="C152" t="s">
        <v>1251</v>
      </c>
      <c r="D152" t="s">
        <v>710</v>
      </c>
      <c r="E152" t="s">
        <v>710</v>
      </c>
      <c r="F152" s="77"/>
      <c r="G152" s="144">
        <v>64</v>
      </c>
      <c r="H152" s="151">
        <v>72</v>
      </c>
      <c r="I152" t="s">
        <v>1395</v>
      </c>
    </row>
    <row r="153" spans="1:9" x14ac:dyDescent="0.25">
      <c r="A153" t="s">
        <v>1275</v>
      </c>
      <c r="B153" t="s">
        <v>708</v>
      </c>
      <c r="C153" t="s">
        <v>723</v>
      </c>
      <c r="D153" t="s">
        <v>717</v>
      </c>
      <c r="E153" t="s">
        <v>1602</v>
      </c>
      <c r="F153" s="77">
        <v>0.73</v>
      </c>
      <c r="G153" s="144">
        <v>52</v>
      </c>
      <c r="H153" s="151">
        <v>58</v>
      </c>
      <c r="I153" t="s">
        <v>1605</v>
      </c>
    </row>
    <row r="154" spans="1:9" x14ac:dyDescent="0.25">
      <c r="A154" t="s">
        <v>1428</v>
      </c>
      <c r="B154" t="s">
        <v>708</v>
      </c>
      <c r="C154" t="s">
        <v>716</v>
      </c>
      <c r="D154" t="s">
        <v>719</v>
      </c>
      <c r="E154" t="s">
        <v>717</v>
      </c>
      <c r="F154" s="77"/>
      <c r="G154" s="144">
        <v>68</v>
      </c>
      <c r="H154" s="151">
        <v>72</v>
      </c>
      <c r="I154" t="s">
        <v>1429</v>
      </c>
    </row>
    <row r="155" spans="1:9" x14ac:dyDescent="0.25">
      <c r="A155" t="s">
        <v>1238</v>
      </c>
      <c r="B155" t="s">
        <v>708</v>
      </c>
      <c r="C155" t="s">
        <v>1239</v>
      </c>
      <c r="D155" t="s">
        <v>717</v>
      </c>
      <c r="E155" t="s">
        <v>717</v>
      </c>
      <c r="F155" s="77"/>
      <c r="G155" s="144">
        <v>65</v>
      </c>
      <c r="H155" s="151">
        <v>70</v>
      </c>
      <c r="I155" t="s">
        <v>1240</v>
      </c>
    </row>
    <row r="156" spans="1:9" x14ac:dyDescent="0.25">
      <c r="A156" t="s">
        <v>863</v>
      </c>
      <c r="B156" t="s">
        <v>708</v>
      </c>
      <c r="C156" t="s">
        <v>723</v>
      </c>
      <c r="D156" t="s">
        <v>717</v>
      </c>
      <c r="E156" t="s">
        <v>822</v>
      </c>
      <c r="F156" s="77">
        <v>0.69</v>
      </c>
      <c r="G156" s="144">
        <v>65</v>
      </c>
      <c r="H156" s="151">
        <v>75</v>
      </c>
      <c r="I156" t="s">
        <v>864</v>
      </c>
    </row>
    <row r="157" spans="1:9" x14ac:dyDescent="0.25">
      <c r="A157" t="s">
        <v>865</v>
      </c>
      <c r="B157" t="s">
        <v>783</v>
      </c>
      <c r="C157" t="s">
        <v>1224</v>
      </c>
      <c r="D157" t="s">
        <v>717</v>
      </c>
      <c r="E157" t="s">
        <v>717</v>
      </c>
      <c r="F157" s="77">
        <v>0.75</v>
      </c>
      <c r="G157" s="144">
        <v>57</v>
      </c>
      <c r="H157" s="151">
        <v>70</v>
      </c>
      <c r="I157" t="s">
        <v>866</v>
      </c>
    </row>
    <row r="158" spans="1:9" x14ac:dyDescent="0.25">
      <c r="A158" t="s">
        <v>1442</v>
      </c>
      <c r="B158" t="s">
        <v>708</v>
      </c>
      <c r="C158" t="s">
        <v>723</v>
      </c>
      <c r="D158" t="s">
        <v>724</v>
      </c>
      <c r="E158" t="s">
        <v>725</v>
      </c>
      <c r="F158" s="77">
        <v>0.75</v>
      </c>
      <c r="G158" s="144">
        <v>48</v>
      </c>
      <c r="H158" s="151">
        <v>58</v>
      </c>
      <c r="I158" t="s">
        <v>1443</v>
      </c>
    </row>
    <row r="159" spans="1:9" x14ac:dyDescent="0.25">
      <c r="A159" t="s">
        <v>1444</v>
      </c>
      <c r="B159" t="s">
        <v>708</v>
      </c>
      <c r="C159" t="s">
        <v>709</v>
      </c>
      <c r="D159" t="s">
        <v>710</v>
      </c>
      <c r="E159" t="s">
        <v>1445</v>
      </c>
      <c r="F159" s="77">
        <v>0.69</v>
      </c>
      <c r="G159" s="144">
        <v>52</v>
      </c>
      <c r="H159" s="151">
        <v>58</v>
      </c>
      <c r="I159" t="s">
        <v>1446</v>
      </c>
    </row>
    <row r="160" spans="1:9" x14ac:dyDescent="0.25">
      <c r="A160" t="s">
        <v>1381</v>
      </c>
      <c r="B160" t="s">
        <v>708</v>
      </c>
      <c r="C160" t="s">
        <v>709</v>
      </c>
      <c r="D160" t="s">
        <v>710</v>
      </c>
      <c r="E160" t="s">
        <v>1382</v>
      </c>
      <c r="F160" s="77">
        <v>0.69</v>
      </c>
      <c r="G160" s="144">
        <v>50</v>
      </c>
      <c r="H160" s="151">
        <v>55</v>
      </c>
      <c r="I160" t="s">
        <v>1383</v>
      </c>
    </row>
    <row r="161" spans="1:9" x14ac:dyDescent="0.25">
      <c r="A161" t="s">
        <v>1241</v>
      </c>
      <c r="B161" t="s">
        <v>708</v>
      </c>
      <c r="C161" t="s">
        <v>1239</v>
      </c>
      <c r="D161" t="s">
        <v>717</v>
      </c>
      <c r="E161" t="s">
        <v>719</v>
      </c>
      <c r="F161" s="77">
        <v>0.76</v>
      </c>
      <c r="G161" s="144">
        <v>60</v>
      </c>
      <c r="H161" s="151">
        <v>68</v>
      </c>
      <c r="I161" t="s">
        <v>1562</v>
      </c>
    </row>
    <row r="162" spans="1:9" x14ac:dyDescent="0.25">
      <c r="A162" t="s">
        <v>1242</v>
      </c>
      <c r="B162" t="s">
        <v>708</v>
      </c>
      <c r="C162" t="s">
        <v>1239</v>
      </c>
      <c r="D162" t="s">
        <v>710</v>
      </c>
      <c r="E162" t="s">
        <v>710</v>
      </c>
      <c r="F162" s="77"/>
      <c r="G162" s="144">
        <v>58</v>
      </c>
      <c r="H162" s="151">
        <v>68</v>
      </c>
      <c r="I162" t="s">
        <v>1243</v>
      </c>
    </row>
    <row r="163" spans="1:9" x14ac:dyDescent="0.25">
      <c r="A163" t="s">
        <v>1244</v>
      </c>
      <c r="B163" t="s">
        <v>708</v>
      </c>
      <c r="C163" t="s">
        <v>709</v>
      </c>
      <c r="D163" t="s">
        <v>710</v>
      </c>
      <c r="E163" t="s">
        <v>710</v>
      </c>
      <c r="F163" s="77"/>
      <c r="G163" s="144">
        <v>66</v>
      </c>
      <c r="H163" s="151">
        <v>70</v>
      </c>
      <c r="I163" t="s">
        <v>1245</v>
      </c>
    </row>
    <row r="164" spans="1:9" x14ac:dyDescent="0.25">
      <c r="A164" t="s">
        <v>1361</v>
      </c>
      <c r="B164" t="s">
        <v>708</v>
      </c>
      <c r="C164" t="s">
        <v>1239</v>
      </c>
      <c r="E164" t="s">
        <v>710</v>
      </c>
      <c r="F164" s="77"/>
      <c r="G164" s="144">
        <v>68</v>
      </c>
      <c r="H164" s="151">
        <v>74</v>
      </c>
      <c r="I164" t="s">
        <v>1362</v>
      </c>
    </row>
    <row r="165" spans="1:9" x14ac:dyDescent="0.25">
      <c r="A165" t="s">
        <v>867</v>
      </c>
      <c r="B165" t="s">
        <v>708</v>
      </c>
      <c r="C165" t="s">
        <v>709</v>
      </c>
      <c r="D165" t="s">
        <v>717</v>
      </c>
      <c r="E165" t="s">
        <v>824</v>
      </c>
      <c r="F165" s="77">
        <v>0.67500000000000004</v>
      </c>
      <c r="G165" s="144">
        <v>65</v>
      </c>
      <c r="H165" s="151">
        <v>68</v>
      </c>
      <c r="I165" t="s">
        <v>868</v>
      </c>
    </row>
    <row r="166" spans="1:9" x14ac:dyDescent="0.25">
      <c r="A166" t="s">
        <v>1363</v>
      </c>
      <c r="B166" t="s">
        <v>708</v>
      </c>
      <c r="C166" t="s">
        <v>723</v>
      </c>
      <c r="E166" t="s">
        <v>232</v>
      </c>
      <c r="F166" s="77"/>
      <c r="G166" s="144">
        <v>60</v>
      </c>
      <c r="H166" s="151">
        <v>95</v>
      </c>
      <c r="I166" t="s">
        <v>1360</v>
      </c>
    </row>
    <row r="167" spans="1:9" x14ac:dyDescent="0.25">
      <c r="A167" t="s">
        <v>1430</v>
      </c>
      <c r="B167" t="s">
        <v>708</v>
      </c>
      <c r="C167" t="s">
        <v>723</v>
      </c>
      <c r="D167" t="s">
        <v>710</v>
      </c>
      <c r="E167" t="s">
        <v>851</v>
      </c>
      <c r="F167" s="77">
        <v>0.73</v>
      </c>
      <c r="G167" s="144">
        <v>48</v>
      </c>
      <c r="H167" s="151">
        <v>56</v>
      </c>
      <c r="I167" t="s">
        <v>1431</v>
      </c>
    </row>
    <row r="168" spans="1:9" x14ac:dyDescent="0.25">
      <c r="A168" t="s">
        <v>1432</v>
      </c>
      <c r="B168" t="s">
        <v>708</v>
      </c>
      <c r="C168" t="s">
        <v>709</v>
      </c>
      <c r="D168" t="s">
        <v>713</v>
      </c>
      <c r="E168" t="s">
        <v>1433</v>
      </c>
      <c r="F168" s="77">
        <v>0.745</v>
      </c>
      <c r="G168" s="144">
        <v>50</v>
      </c>
      <c r="H168" s="151">
        <v>55</v>
      </c>
      <c r="I168" t="s">
        <v>1434</v>
      </c>
    </row>
    <row r="169" spans="1:9" x14ac:dyDescent="0.25">
      <c r="A169" t="s">
        <v>1276</v>
      </c>
      <c r="B169" t="s">
        <v>708</v>
      </c>
      <c r="C169" t="s">
        <v>723</v>
      </c>
      <c r="D169" t="s">
        <v>719</v>
      </c>
      <c r="E169" t="s">
        <v>710</v>
      </c>
      <c r="F169" s="77"/>
      <c r="G169" s="144">
        <v>48</v>
      </c>
      <c r="H169" s="151">
        <v>68</v>
      </c>
      <c r="I169" t="s">
        <v>1277</v>
      </c>
    </row>
    <row r="170" spans="1:9" x14ac:dyDescent="0.25">
      <c r="A170" t="s">
        <v>869</v>
      </c>
      <c r="B170" t="s">
        <v>708</v>
      </c>
      <c r="C170" t="s">
        <v>723</v>
      </c>
      <c r="D170" t="s">
        <v>717</v>
      </c>
      <c r="E170" t="s">
        <v>818</v>
      </c>
      <c r="F170" s="77">
        <v>0.7</v>
      </c>
      <c r="G170" s="144">
        <v>64</v>
      </c>
      <c r="H170" s="151">
        <v>74</v>
      </c>
      <c r="I170" t="s">
        <v>870</v>
      </c>
    </row>
    <row r="171" spans="1:9" x14ac:dyDescent="0.25">
      <c r="A171" t="s">
        <v>1278</v>
      </c>
      <c r="B171" t="s">
        <v>708</v>
      </c>
      <c r="C171" t="s">
        <v>723</v>
      </c>
      <c r="D171" t="s">
        <v>713</v>
      </c>
      <c r="E171" t="s">
        <v>1598</v>
      </c>
      <c r="F171" s="77">
        <v>0.72</v>
      </c>
      <c r="G171" s="144">
        <v>48</v>
      </c>
      <c r="H171" s="151">
        <v>56</v>
      </c>
      <c r="I171" t="s">
        <v>1606</v>
      </c>
    </row>
    <row r="172" spans="1:9" x14ac:dyDescent="0.25">
      <c r="A172" t="s">
        <v>1364</v>
      </c>
      <c r="B172" t="s">
        <v>708</v>
      </c>
      <c r="C172" t="s">
        <v>723</v>
      </c>
      <c r="D172" t="s">
        <v>301</v>
      </c>
      <c r="E172" t="s">
        <v>1607</v>
      </c>
      <c r="F172" s="77">
        <v>0.8</v>
      </c>
      <c r="G172" s="144">
        <v>65</v>
      </c>
      <c r="H172" s="151">
        <v>85</v>
      </c>
      <c r="I172" t="s">
        <v>1608</v>
      </c>
    </row>
    <row r="173" spans="1:9" ht="26.4" x14ac:dyDescent="0.25">
      <c r="A173" t="s">
        <v>1618</v>
      </c>
      <c r="B173" t="s">
        <v>783</v>
      </c>
      <c r="C173" t="s">
        <v>826</v>
      </c>
      <c r="E173" s="61"/>
      <c r="F173" s="77">
        <v>0.9</v>
      </c>
      <c r="G173" s="144">
        <v>64.400000000000006</v>
      </c>
      <c r="H173" s="151">
        <v>82.4</v>
      </c>
      <c r="I173" s="143" t="s">
        <v>1619</v>
      </c>
    </row>
    <row r="174" spans="1:9" ht="26.4" x14ac:dyDescent="0.25">
      <c r="A174" t="s">
        <v>1634</v>
      </c>
      <c r="B174" t="s">
        <v>783</v>
      </c>
      <c r="C174" t="s">
        <v>826</v>
      </c>
      <c r="E174" s="61"/>
      <c r="F174" s="77">
        <v>0.82</v>
      </c>
      <c r="G174" s="144">
        <v>59</v>
      </c>
      <c r="H174" s="151">
        <v>68</v>
      </c>
      <c r="I174" s="143" t="s">
        <v>1635</v>
      </c>
    </row>
    <row r="175" spans="1:9" ht="39.6" x14ac:dyDescent="0.25">
      <c r="A175" t="s">
        <v>1632</v>
      </c>
      <c r="B175" t="s">
        <v>783</v>
      </c>
      <c r="C175" t="s">
        <v>826</v>
      </c>
      <c r="E175" s="61"/>
      <c r="F175" s="77"/>
      <c r="G175" s="144">
        <v>59</v>
      </c>
      <c r="H175" s="151">
        <v>77</v>
      </c>
      <c r="I175" s="143" t="s">
        <v>1633</v>
      </c>
    </row>
    <row r="176" spans="1:9" ht="26.4" x14ac:dyDescent="0.25">
      <c r="A176" t="s">
        <v>1630</v>
      </c>
      <c r="B176" t="s">
        <v>783</v>
      </c>
      <c r="C176" t="s">
        <v>826</v>
      </c>
      <c r="E176" s="61"/>
      <c r="F176" s="77">
        <v>0.81</v>
      </c>
      <c r="G176" s="144">
        <v>59</v>
      </c>
      <c r="H176" s="151">
        <v>68</v>
      </c>
      <c r="I176" s="143" t="s">
        <v>1631</v>
      </c>
    </row>
    <row r="177" spans="1:9" ht="39.6" x14ac:dyDescent="0.25">
      <c r="A177" t="s">
        <v>1620</v>
      </c>
      <c r="B177" t="s">
        <v>783</v>
      </c>
      <c r="C177" t="s">
        <v>826</v>
      </c>
      <c r="E177" s="61"/>
      <c r="F177" s="77">
        <v>0.79</v>
      </c>
      <c r="G177" s="144">
        <v>59</v>
      </c>
      <c r="H177" s="151">
        <v>68</v>
      </c>
      <c r="I177" s="143" t="s">
        <v>1621</v>
      </c>
    </row>
    <row r="178" spans="1:9" ht="39.6" x14ac:dyDescent="0.25">
      <c r="A178" t="s">
        <v>1625</v>
      </c>
      <c r="B178" t="s">
        <v>783</v>
      </c>
      <c r="C178" t="s">
        <v>826</v>
      </c>
      <c r="E178" s="61"/>
      <c r="F178" s="77">
        <v>0.75</v>
      </c>
      <c r="G178" s="144">
        <v>59</v>
      </c>
      <c r="H178" s="151">
        <v>68</v>
      </c>
      <c r="I178" s="143" t="s">
        <v>1626</v>
      </c>
    </row>
    <row r="179" spans="1:9" ht="26.4" x14ac:dyDescent="0.25">
      <c r="A179" t="s">
        <v>1623</v>
      </c>
      <c r="B179" t="s">
        <v>783</v>
      </c>
      <c r="C179" t="s">
        <v>826</v>
      </c>
      <c r="E179" s="61"/>
      <c r="F179" s="77">
        <v>0.75</v>
      </c>
      <c r="G179" s="144">
        <v>59</v>
      </c>
      <c r="H179" s="151">
        <v>68</v>
      </c>
      <c r="I179" s="143" t="s">
        <v>1624</v>
      </c>
    </row>
    <row r="180" spans="1:9" ht="26.4" x14ac:dyDescent="0.25">
      <c r="A180" t="s">
        <v>1622</v>
      </c>
      <c r="B180" t="s">
        <v>783</v>
      </c>
      <c r="C180" t="s">
        <v>826</v>
      </c>
      <c r="D180" t="s">
        <v>710</v>
      </c>
      <c r="E180" t="s">
        <v>717</v>
      </c>
      <c r="F180" s="77">
        <v>0.81</v>
      </c>
      <c r="G180" s="144">
        <v>64</v>
      </c>
      <c r="H180" s="151">
        <v>82</v>
      </c>
      <c r="I180" s="143" t="s">
        <v>1617</v>
      </c>
    </row>
    <row r="181" spans="1:9" x14ac:dyDescent="0.25">
      <c r="A181" t="s">
        <v>1456</v>
      </c>
      <c r="B181" t="s">
        <v>783</v>
      </c>
      <c r="C181" t="s">
        <v>826</v>
      </c>
      <c r="D181" t="s">
        <v>717</v>
      </c>
      <c r="E181" t="s">
        <v>717</v>
      </c>
      <c r="F181" s="77">
        <v>0.86</v>
      </c>
      <c r="G181" s="144">
        <v>64</v>
      </c>
      <c r="H181" s="151">
        <v>75</v>
      </c>
      <c r="I181" t="s">
        <v>1457</v>
      </c>
    </row>
    <row r="182" spans="1:9" ht="26.4" x14ac:dyDescent="0.25">
      <c r="A182" t="s">
        <v>1636</v>
      </c>
      <c r="B182" t="s">
        <v>783</v>
      </c>
      <c r="C182" t="s">
        <v>826</v>
      </c>
      <c r="E182" s="61"/>
      <c r="F182" s="77">
        <v>0.84</v>
      </c>
      <c r="G182" s="144">
        <v>53.6</v>
      </c>
      <c r="H182" s="151">
        <v>59</v>
      </c>
      <c r="I182" s="143" t="s">
        <v>1637</v>
      </c>
    </row>
    <row r="183" spans="1:9" x14ac:dyDescent="0.25">
      <c r="A183" t="s">
        <v>1629</v>
      </c>
      <c r="B183" t="s">
        <v>783</v>
      </c>
      <c r="C183" t="s">
        <v>826</v>
      </c>
      <c r="D183" t="s">
        <v>713</v>
      </c>
      <c r="E183" s="61">
        <v>0.8</v>
      </c>
      <c r="F183" s="77">
        <v>0.8</v>
      </c>
      <c r="G183" s="144">
        <v>48</v>
      </c>
      <c r="H183" s="151">
        <v>59</v>
      </c>
      <c r="I183" t="s">
        <v>1435</v>
      </c>
    </row>
    <row r="184" spans="1:9" x14ac:dyDescent="0.25">
      <c r="A184" t="s">
        <v>1628</v>
      </c>
      <c r="B184" t="s">
        <v>783</v>
      </c>
      <c r="C184" t="s">
        <v>826</v>
      </c>
      <c r="D184" t="s">
        <v>717</v>
      </c>
      <c r="E184" t="s">
        <v>717</v>
      </c>
      <c r="F184" s="77">
        <v>0.83</v>
      </c>
      <c r="G184" s="144">
        <v>54</v>
      </c>
      <c r="H184" s="151">
        <v>59</v>
      </c>
      <c r="I184" t="s">
        <v>1279</v>
      </c>
    </row>
    <row r="185" spans="1:9" x14ac:dyDescent="0.25">
      <c r="A185" t="s">
        <v>1559</v>
      </c>
      <c r="B185" t="s">
        <v>708</v>
      </c>
      <c r="C185" t="s">
        <v>1239</v>
      </c>
      <c r="D185" t="s">
        <v>710</v>
      </c>
      <c r="E185" t="s">
        <v>710</v>
      </c>
      <c r="F185" s="77">
        <v>0.8</v>
      </c>
      <c r="G185" s="144">
        <v>75</v>
      </c>
      <c r="H185" s="151">
        <v>85</v>
      </c>
      <c r="I185" t="s">
        <v>1560</v>
      </c>
    </row>
    <row r="186" spans="1:9" x14ac:dyDescent="0.25">
      <c r="A186" t="s">
        <v>1557</v>
      </c>
      <c r="B186" t="s">
        <v>708</v>
      </c>
      <c r="C186" t="s">
        <v>1239</v>
      </c>
      <c r="D186" t="s">
        <v>710</v>
      </c>
      <c r="E186" t="s">
        <v>710</v>
      </c>
      <c r="F186" s="77">
        <v>0.77</v>
      </c>
      <c r="G186" s="144">
        <v>75</v>
      </c>
      <c r="H186" s="151">
        <v>82</v>
      </c>
      <c r="I186" t="s">
        <v>1565</v>
      </c>
    </row>
    <row r="187" spans="1:9" x14ac:dyDescent="0.25">
      <c r="A187" t="s">
        <v>1246</v>
      </c>
      <c r="B187" t="s">
        <v>708</v>
      </c>
      <c r="C187" t="s">
        <v>709</v>
      </c>
      <c r="D187" t="s">
        <v>713</v>
      </c>
      <c r="E187" t="s">
        <v>717</v>
      </c>
      <c r="F187" s="77">
        <v>0.75</v>
      </c>
      <c r="G187" s="144">
        <v>65</v>
      </c>
      <c r="H187" s="151">
        <v>68</v>
      </c>
      <c r="I187" t="s">
        <v>1247</v>
      </c>
    </row>
    <row r="188" spans="1:9" x14ac:dyDescent="0.25">
      <c r="A188" t="s">
        <v>871</v>
      </c>
      <c r="B188" t="s">
        <v>708</v>
      </c>
      <c r="C188" t="s">
        <v>709</v>
      </c>
      <c r="D188" t="s">
        <v>717</v>
      </c>
      <c r="E188" t="s">
        <v>824</v>
      </c>
      <c r="F188" s="77">
        <v>0.67500000000000004</v>
      </c>
      <c r="G188" s="144">
        <v>58</v>
      </c>
      <c r="H188" s="151">
        <v>65</v>
      </c>
      <c r="I188" t="s">
        <v>872</v>
      </c>
    </row>
    <row r="189" spans="1:9" x14ac:dyDescent="0.25">
      <c r="A189" t="s">
        <v>1449</v>
      </c>
      <c r="B189" t="s">
        <v>708</v>
      </c>
      <c r="C189" t="s">
        <v>709</v>
      </c>
      <c r="D189" t="s">
        <v>710</v>
      </c>
      <c r="E189" t="s">
        <v>711</v>
      </c>
      <c r="F189" s="77">
        <v>0.77500000000000002</v>
      </c>
      <c r="G189" s="144">
        <v>72</v>
      </c>
      <c r="H189" s="151">
        <v>77</v>
      </c>
      <c r="I189" t="s">
        <v>1450</v>
      </c>
    </row>
    <row r="190" spans="1:9" x14ac:dyDescent="0.25">
      <c r="A190" t="s">
        <v>873</v>
      </c>
      <c r="B190" t="s">
        <v>708</v>
      </c>
      <c r="C190" t="s">
        <v>723</v>
      </c>
      <c r="D190" t="s">
        <v>717</v>
      </c>
      <c r="E190" t="s">
        <v>874</v>
      </c>
      <c r="F190" s="77">
        <v>0.71</v>
      </c>
      <c r="G190" s="144">
        <v>55</v>
      </c>
      <c r="H190" s="151">
        <v>75</v>
      </c>
      <c r="I190" t="s">
        <v>875</v>
      </c>
    </row>
    <row r="191" spans="1:9" x14ac:dyDescent="0.25">
      <c r="A191" t="s">
        <v>1282</v>
      </c>
      <c r="B191" t="s">
        <v>708</v>
      </c>
      <c r="C191" t="s">
        <v>1239</v>
      </c>
      <c r="D191" t="s">
        <v>710</v>
      </c>
      <c r="E191" t="s">
        <v>1554</v>
      </c>
      <c r="F191" s="77">
        <v>0.78500000000000003</v>
      </c>
      <c r="G191" s="144">
        <v>60</v>
      </c>
      <c r="H191" s="151">
        <v>68</v>
      </c>
      <c r="I191" t="s">
        <v>1558</v>
      </c>
    </row>
    <row r="192" spans="1:9" x14ac:dyDescent="0.25">
      <c r="A192" t="s">
        <v>1568</v>
      </c>
      <c r="B192" t="s">
        <v>708</v>
      </c>
      <c r="C192" t="s">
        <v>1239</v>
      </c>
      <c r="F192" s="77">
        <v>0.75</v>
      </c>
      <c r="G192" s="144">
        <v>62</v>
      </c>
      <c r="H192" s="151">
        <v>68</v>
      </c>
      <c r="I192" t="s">
        <v>1569</v>
      </c>
    </row>
    <row r="193" spans="1:9" x14ac:dyDescent="0.25">
      <c r="A193" t="s">
        <v>1384</v>
      </c>
      <c r="B193" t="s">
        <v>708</v>
      </c>
      <c r="C193" t="s">
        <v>709</v>
      </c>
      <c r="D193" t="s">
        <v>713</v>
      </c>
      <c r="E193" t="s">
        <v>1385</v>
      </c>
      <c r="F193" s="77">
        <v>0.72</v>
      </c>
      <c r="G193" s="144">
        <v>50</v>
      </c>
      <c r="H193" s="151">
        <v>55</v>
      </c>
      <c r="I193" t="s">
        <v>1386</v>
      </c>
    </row>
    <row r="194" spans="1:9" x14ac:dyDescent="0.25">
      <c r="A194" t="s">
        <v>1387</v>
      </c>
      <c r="B194" t="s">
        <v>708</v>
      </c>
      <c r="C194" t="s">
        <v>723</v>
      </c>
      <c r="D194" t="s">
        <v>710</v>
      </c>
      <c r="E194" t="s">
        <v>1598</v>
      </c>
      <c r="F194" s="77">
        <v>0.72</v>
      </c>
      <c r="G194" s="144">
        <v>50</v>
      </c>
      <c r="H194" s="151">
        <v>58</v>
      </c>
      <c r="I194" t="s">
        <v>1609</v>
      </c>
    </row>
    <row r="195" spans="1:9" x14ac:dyDescent="0.25">
      <c r="A195" t="s">
        <v>876</v>
      </c>
      <c r="B195" t="s">
        <v>708</v>
      </c>
      <c r="C195" t="s">
        <v>709</v>
      </c>
      <c r="D195" t="s">
        <v>710</v>
      </c>
      <c r="E195" t="s">
        <v>1283</v>
      </c>
      <c r="F195" s="77">
        <v>0.82</v>
      </c>
      <c r="G195" s="144">
        <v>65</v>
      </c>
      <c r="H195" s="151">
        <v>69</v>
      </c>
      <c r="I195" t="s">
        <v>877</v>
      </c>
    </row>
    <row r="196" spans="1:9" x14ac:dyDescent="0.25">
      <c r="A196" t="s">
        <v>1284</v>
      </c>
      <c r="B196" t="s">
        <v>708</v>
      </c>
      <c r="C196" t="s">
        <v>709</v>
      </c>
      <c r="D196" t="s">
        <v>710</v>
      </c>
      <c r="E196" t="s">
        <v>711</v>
      </c>
      <c r="F196" s="77">
        <v>0.77500000000000002</v>
      </c>
      <c r="G196" s="144">
        <v>75</v>
      </c>
      <c r="H196" s="151">
        <v>79</v>
      </c>
      <c r="I196" t="s">
        <v>1285</v>
      </c>
    </row>
    <row r="197" spans="1:9" x14ac:dyDescent="0.25">
      <c r="A197" t="s">
        <v>878</v>
      </c>
      <c r="B197" t="s">
        <v>708</v>
      </c>
      <c r="C197" t="s">
        <v>723</v>
      </c>
      <c r="D197" t="s">
        <v>710</v>
      </c>
      <c r="E197" t="s">
        <v>730</v>
      </c>
      <c r="F197" s="77">
        <v>0.74</v>
      </c>
      <c r="G197" s="144">
        <v>62</v>
      </c>
      <c r="H197" s="151">
        <v>72</v>
      </c>
      <c r="I197" t="s">
        <v>879</v>
      </c>
    </row>
    <row r="198" spans="1:9" x14ac:dyDescent="0.25">
      <c r="A198" t="s">
        <v>1396</v>
      </c>
      <c r="B198" t="s">
        <v>708</v>
      </c>
      <c r="C198" t="s">
        <v>723</v>
      </c>
      <c r="D198" t="s">
        <v>717</v>
      </c>
      <c r="E198" t="s">
        <v>1610</v>
      </c>
      <c r="F198" s="77">
        <v>0.75</v>
      </c>
      <c r="G198" s="144">
        <v>60</v>
      </c>
      <c r="H198" s="151">
        <v>70</v>
      </c>
      <c r="I198" t="s">
        <v>1611</v>
      </c>
    </row>
    <row r="199" spans="1:9" x14ac:dyDescent="0.25">
      <c r="A199" t="s">
        <v>1321</v>
      </c>
      <c r="B199" t="s">
        <v>783</v>
      </c>
      <c r="C199" t="s">
        <v>1233</v>
      </c>
      <c r="D199" t="s">
        <v>710</v>
      </c>
      <c r="E199" t="s">
        <v>711</v>
      </c>
      <c r="F199" s="77">
        <v>0.77500000000000002</v>
      </c>
      <c r="G199" s="144">
        <v>66</v>
      </c>
      <c r="H199" s="151">
        <v>72</v>
      </c>
      <c r="I199" t="s">
        <v>1322</v>
      </c>
    </row>
    <row r="200" spans="1:9" x14ac:dyDescent="0.25">
      <c r="A200" t="s">
        <v>1248</v>
      </c>
      <c r="B200" t="s">
        <v>783</v>
      </c>
      <c r="C200" t="s">
        <v>1233</v>
      </c>
      <c r="D200" t="s">
        <v>717</v>
      </c>
      <c r="E200" t="s">
        <v>804</v>
      </c>
      <c r="F200" s="77">
        <v>0.75</v>
      </c>
      <c r="G200" s="144">
        <v>68</v>
      </c>
      <c r="H200" s="151">
        <v>75</v>
      </c>
      <c r="I200" t="s">
        <v>1249</v>
      </c>
    </row>
    <row r="201" spans="1:9" x14ac:dyDescent="0.25">
      <c r="A201" t="s">
        <v>880</v>
      </c>
      <c r="B201" t="s">
        <v>708</v>
      </c>
      <c r="C201" t="s">
        <v>716</v>
      </c>
      <c r="D201" t="s">
        <v>710</v>
      </c>
      <c r="E201" t="s">
        <v>717</v>
      </c>
      <c r="F201" s="77"/>
      <c r="G201" s="144">
        <v>64</v>
      </c>
      <c r="H201" s="151">
        <v>72</v>
      </c>
      <c r="I201" t="s">
        <v>1323</v>
      </c>
    </row>
    <row r="202" spans="1:9" x14ac:dyDescent="0.25">
      <c r="A202" t="s">
        <v>881</v>
      </c>
      <c r="B202" t="s">
        <v>708</v>
      </c>
      <c r="C202" t="s">
        <v>709</v>
      </c>
      <c r="D202" t="s">
        <v>724</v>
      </c>
      <c r="E202" t="s">
        <v>711</v>
      </c>
      <c r="F202" s="77">
        <v>0.77500000000000002</v>
      </c>
      <c r="G202" s="144">
        <v>65</v>
      </c>
      <c r="H202" s="151">
        <v>72</v>
      </c>
      <c r="I202" t="s">
        <v>882</v>
      </c>
    </row>
    <row r="203" spans="1:9" x14ac:dyDescent="0.25">
      <c r="A203" t="s">
        <v>883</v>
      </c>
      <c r="B203" t="s">
        <v>708</v>
      </c>
      <c r="C203" t="s">
        <v>723</v>
      </c>
      <c r="D203" t="s">
        <v>710</v>
      </c>
      <c r="E203" t="s">
        <v>736</v>
      </c>
      <c r="F203" s="77">
        <v>0.76</v>
      </c>
      <c r="G203" s="144">
        <v>64</v>
      </c>
      <c r="H203" s="151">
        <v>78</v>
      </c>
      <c r="I203" t="s">
        <v>884</v>
      </c>
    </row>
    <row r="204" spans="1:9" x14ac:dyDescent="0.25">
      <c r="A204" t="s">
        <v>1612</v>
      </c>
      <c r="B204" t="s">
        <v>708</v>
      </c>
      <c r="C204" t="s">
        <v>723</v>
      </c>
      <c r="D204" t="s">
        <v>710</v>
      </c>
      <c r="E204" t="s">
        <v>1613</v>
      </c>
      <c r="F204" s="77">
        <v>0.77500000000000002</v>
      </c>
      <c r="G204" s="144">
        <v>68</v>
      </c>
      <c r="H204" s="151">
        <v>85</v>
      </c>
      <c r="I204" t="s">
        <v>1614</v>
      </c>
    </row>
    <row r="205" spans="1:9" x14ac:dyDescent="0.25">
      <c r="A205" t="s">
        <v>1436</v>
      </c>
      <c r="B205" t="s">
        <v>708</v>
      </c>
      <c r="C205" t="s">
        <v>723</v>
      </c>
      <c r="D205" t="s">
        <v>713</v>
      </c>
      <c r="E205" t="s">
        <v>730</v>
      </c>
      <c r="F205" s="77">
        <v>0.74</v>
      </c>
      <c r="G205" s="144">
        <v>48</v>
      </c>
      <c r="H205" s="151">
        <v>56</v>
      </c>
      <c r="I205" t="s">
        <v>1437</v>
      </c>
    </row>
    <row r="206" spans="1:9" x14ac:dyDescent="0.25">
      <c r="A206" t="s">
        <v>1250</v>
      </c>
      <c r="B206" t="s">
        <v>783</v>
      </c>
      <c r="C206" t="s">
        <v>1251</v>
      </c>
      <c r="D206" t="s">
        <v>717</v>
      </c>
      <c r="E206" t="s">
        <v>717</v>
      </c>
      <c r="F206" s="77"/>
      <c r="G206" s="144">
        <v>59</v>
      </c>
      <c r="H206" s="151">
        <v>74</v>
      </c>
      <c r="I206" t="s">
        <v>1252</v>
      </c>
    </row>
    <row r="207" spans="1:9" x14ac:dyDescent="0.25">
      <c r="A207" t="s">
        <v>885</v>
      </c>
      <c r="B207" t="s">
        <v>708</v>
      </c>
      <c r="C207" t="s">
        <v>723</v>
      </c>
      <c r="D207" t="s">
        <v>719</v>
      </c>
      <c r="E207" t="s">
        <v>725</v>
      </c>
      <c r="F207" s="77">
        <v>0.75</v>
      </c>
      <c r="G207" s="144">
        <v>64</v>
      </c>
      <c r="H207" s="151">
        <v>75</v>
      </c>
      <c r="I207" t="s">
        <v>886</v>
      </c>
    </row>
    <row r="208" spans="1:9" x14ac:dyDescent="0.25">
      <c r="A208" t="s">
        <v>1397</v>
      </c>
      <c r="B208" t="s">
        <v>708</v>
      </c>
      <c r="C208" t="s">
        <v>723</v>
      </c>
      <c r="D208" t="s">
        <v>717</v>
      </c>
      <c r="E208" t="s">
        <v>1615</v>
      </c>
      <c r="F208" s="77">
        <v>0.69</v>
      </c>
      <c r="G208" s="144">
        <v>64</v>
      </c>
      <c r="H208" s="151">
        <v>72</v>
      </c>
      <c r="I208" t="s">
        <v>1616</v>
      </c>
    </row>
    <row r="209" spans="1:9" x14ac:dyDescent="0.25">
      <c r="A209" t="s">
        <v>887</v>
      </c>
      <c r="B209" t="s">
        <v>708</v>
      </c>
      <c r="C209" t="s">
        <v>723</v>
      </c>
      <c r="D209" t="s">
        <v>717</v>
      </c>
      <c r="E209" t="s">
        <v>818</v>
      </c>
      <c r="F209" s="77">
        <v>0.7</v>
      </c>
      <c r="G209" s="144">
        <v>64</v>
      </c>
      <c r="H209" s="151">
        <v>74</v>
      </c>
      <c r="I209" t="s">
        <v>888</v>
      </c>
    </row>
    <row r="210" spans="1:9" x14ac:dyDescent="0.25">
      <c r="A210" t="s">
        <v>889</v>
      </c>
      <c r="B210" t="s">
        <v>708</v>
      </c>
      <c r="C210" t="s">
        <v>709</v>
      </c>
      <c r="D210" t="s">
        <v>717</v>
      </c>
      <c r="E210" t="s">
        <v>890</v>
      </c>
      <c r="F210" s="77">
        <v>0.7</v>
      </c>
      <c r="G210" s="144">
        <v>66</v>
      </c>
      <c r="H210" s="151">
        <v>70</v>
      </c>
      <c r="I210" t="s">
        <v>891</v>
      </c>
    </row>
    <row r="211" spans="1:9" x14ac:dyDescent="0.25">
      <c r="A211" t="s">
        <v>1286</v>
      </c>
      <c r="B211" t="s">
        <v>783</v>
      </c>
      <c r="C211" t="s">
        <v>1224</v>
      </c>
      <c r="D211" t="s">
        <v>719</v>
      </c>
      <c r="E211" t="s">
        <v>710</v>
      </c>
      <c r="F211" s="77">
        <v>0.75</v>
      </c>
      <c r="G211" s="144">
        <v>64</v>
      </c>
      <c r="H211" s="151">
        <v>70</v>
      </c>
      <c r="I211" t="s">
        <v>892</v>
      </c>
    </row>
    <row r="212" spans="1:9" x14ac:dyDescent="0.25">
      <c r="A212" t="s">
        <v>1253</v>
      </c>
      <c r="B212" t="s">
        <v>783</v>
      </c>
      <c r="C212" t="s">
        <v>1251</v>
      </c>
      <c r="D212" t="s">
        <v>710</v>
      </c>
      <c r="E212" t="s">
        <v>717</v>
      </c>
      <c r="F212" s="77"/>
      <c r="G212" s="144">
        <v>59</v>
      </c>
      <c r="H212" s="151">
        <v>68</v>
      </c>
      <c r="I212" t="s">
        <v>1254</v>
      </c>
    </row>
    <row r="213" spans="1:9" x14ac:dyDescent="0.25">
      <c r="A213" t="s">
        <v>1405</v>
      </c>
      <c r="B213" t="s">
        <v>783</v>
      </c>
      <c r="C213" t="s">
        <v>1233</v>
      </c>
      <c r="D213" t="s">
        <v>710</v>
      </c>
      <c r="E213" t="s">
        <v>768</v>
      </c>
      <c r="F213" s="77">
        <v>0.7</v>
      </c>
      <c r="G213" s="144">
        <v>65</v>
      </c>
      <c r="H213" s="151">
        <v>70</v>
      </c>
      <c r="I213" t="s">
        <v>1406</v>
      </c>
    </row>
    <row r="214" spans="1:9" x14ac:dyDescent="0.25">
      <c r="A214" t="s">
        <v>1398</v>
      </c>
      <c r="B214" t="s">
        <v>708</v>
      </c>
      <c r="C214" t="s">
        <v>709</v>
      </c>
      <c r="D214" t="s">
        <v>717</v>
      </c>
      <c r="E214" t="s">
        <v>719</v>
      </c>
      <c r="F214" s="77">
        <v>0.7</v>
      </c>
      <c r="G214" s="144">
        <v>65</v>
      </c>
      <c r="H214" s="151">
        <v>70</v>
      </c>
      <c r="I214" t="s">
        <v>1399</v>
      </c>
    </row>
    <row r="215" spans="1:9" x14ac:dyDescent="0.25">
      <c r="A215" t="s">
        <v>1438</v>
      </c>
      <c r="B215" t="s">
        <v>708</v>
      </c>
      <c r="C215" t="s">
        <v>709</v>
      </c>
      <c r="D215" t="s">
        <v>710</v>
      </c>
      <c r="E215" t="s">
        <v>804</v>
      </c>
      <c r="F215" s="77">
        <v>0.75</v>
      </c>
      <c r="G215" s="144">
        <v>50</v>
      </c>
      <c r="H215" s="151">
        <v>55</v>
      </c>
      <c r="I215" t="s">
        <v>1439</v>
      </c>
    </row>
  </sheetData>
  <sheetProtection sheet="1" autoFilter="0"/>
  <sortState ref="A1:G630">
    <sortCondition ref="A1:A630"/>
  </sortState>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4" t="s">
        <v>894</v>
      </c>
      <c r="C1" s="24" t="s">
        <v>899</v>
      </c>
      <c r="D1" s="24" t="s">
        <v>903</v>
      </c>
      <c r="E1" s="24" t="s">
        <v>909</v>
      </c>
      <c r="F1" s="24" t="s">
        <v>912</v>
      </c>
      <c r="G1" s="24" t="s">
        <v>923</v>
      </c>
      <c r="H1" s="24" t="s">
        <v>922</v>
      </c>
      <c r="I1" s="24" t="s">
        <v>927</v>
      </c>
      <c r="J1" s="24" t="s">
        <v>930</v>
      </c>
      <c r="K1" s="24" t="s">
        <v>934</v>
      </c>
      <c r="L1" s="24" t="s">
        <v>938</v>
      </c>
      <c r="M1" s="24" t="s">
        <v>942</v>
      </c>
      <c r="N1" s="24" t="s">
        <v>946</v>
      </c>
      <c r="O1" s="24" t="s">
        <v>950</v>
      </c>
      <c r="P1" s="24" t="s">
        <v>954</v>
      </c>
      <c r="Q1" s="24" t="s">
        <v>958</v>
      </c>
      <c r="R1" s="24" t="s">
        <v>963</v>
      </c>
      <c r="S1" s="24" t="s">
        <v>968</v>
      </c>
      <c r="T1" s="24" t="s">
        <v>971</v>
      </c>
      <c r="U1" s="24" t="s">
        <v>975</v>
      </c>
      <c r="V1" s="24" t="s">
        <v>979</v>
      </c>
      <c r="W1" s="24" t="s">
        <v>988</v>
      </c>
      <c r="X1" s="24" t="s">
        <v>993</v>
      </c>
      <c r="Y1" s="24" t="s">
        <v>1000</v>
      </c>
      <c r="Z1" s="24" t="s">
        <v>1004</v>
      </c>
      <c r="AA1" s="24" t="s">
        <v>1008</v>
      </c>
      <c r="AB1" s="24" t="s">
        <v>1013</v>
      </c>
      <c r="AC1" s="24" t="s">
        <v>1034</v>
      </c>
      <c r="AD1" s="24" t="s">
        <v>1038</v>
      </c>
      <c r="AE1" s="24" t="s">
        <v>1042</v>
      </c>
      <c r="AF1" s="24" t="s">
        <v>1046</v>
      </c>
      <c r="AG1" s="24" t="s">
        <v>1049</v>
      </c>
      <c r="AH1" s="24" t="s">
        <v>1052</v>
      </c>
      <c r="AI1" s="24" t="s">
        <v>1055</v>
      </c>
    </row>
    <row r="2" spans="2:35" x14ac:dyDescent="0.25">
      <c r="B2" s="24" t="s">
        <v>895</v>
      </c>
      <c r="C2" s="24" t="s">
        <v>900</v>
      </c>
      <c r="D2" s="24" t="s">
        <v>904</v>
      </c>
      <c r="E2" s="24" t="s">
        <v>908</v>
      </c>
      <c r="F2" s="24" t="s">
        <v>913</v>
      </c>
      <c r="G2" s="24" t="s">
        <v>924</v>
      </c>
      <c r="H2" s="24" t="s">
        <v>917</v>
      </c>
      <c r="I2" s="24" t="s">
        <v>928</v>
      </c>
      <c r="J2" s="24" t="s">
        <v>931</v>
      </c>
      <c r="K2" s="24" t="s">
        <v>935</v>
      </c>
      <c r="L2" s="24" t="s">
        <v>939</v>
      </c>
      <c r="M2" s="24" t="s">
        <v>943</v>
      </c>
      <c r="N2" s="24" t="s">
        <v>947</v>
      </c>
      <c r="O2" s="24" t="s">
        <v>951</v>
      </c>
      <c r="P2" s="24" t="s">
        <v>955</v>
      </c>
      <c r="Q2" s="24" t="s">
        <v>959</v>
      </c>
      <c r="R2" s="24" t="s">
        <v>964</v>
      </c>
      <c r="S2" s="24" t="s">
        <v>969</v>
      </c>
      <c r="T2" s="24" t="s">
        <v>972</v>
      </c>
      <c r="U2" s="24" t="s">
        <v>976</v>
      </c>
      <c r="V2" s="24" t="s">
        <v>980</v>
      </c>
      <c r="W2" s="24" t="s">
        <v>989</v>
      </c>
      <c r="X2" s="24" t="s">
        <v>994</v>
      </c>
      <c r="Y2" s="24" t="s">
        <v>1001</v>
      </c>
      <c r="Z2" s="24" t="s">
        <v>1005</v>
      </c>
      <c r="AA2" s="24" t="s">
        <v>1009</v>
      </c>
      <c r="AB2" s="24" t="s">
        <v>1014</v>
      </c>
      <c r="AC2" s="24" t="s">
        <v>1035</v>
      </c>
      <c r="AD2" s="24" t="s">
        <v>1039</v>
      </c>
      <c r="AE2" s="24" t="s">
        <v>1043</v>
      </c>
      <c r="AF2" s="24" t="s">
        <v>1047</v>
      </c>
      <c r="AG2" s="24" t="s">
        <v>1050</v>
      </c>
      <c r="AH2" s="24" t="s">
        <v>1053</v>
      </c>
      <c r="AI2" s="24" t="s">
        <v>1056</v>
      </c>
    </row>
    <row r="3" spans="2:35" x14ac:dyDescent="0.25">
      <c r="B3" s="24" t="s">
        <v>896</v>
      </c>
      <c r="C3" s="24" t="s">
        <v>901</v>
      </c>
      <c r="D3" s="24" t="s">
        <v>905</v>
      </c>
      <c r="E3" s="24" t="s">
        <v>910</v>
      </c>
      <c r="F3" s="24" t="s">
        <v>914</v>
      </c>
      <c r="G3" s="24" t="s">
        <v>925</v>
      </c>
      <c r="H3" s="24" t="s">
        <v>918</v>
      </c>
      <c r="I3" s="24" t="s">
        <v>929</v>
      </c>
      <c r="J3" s="24" t="s">
        <v>932</v>
      </c>
      <c r="K3" s="24" t="s">
        <v>936</v>
      </c>
      <c r="L3" s="24" t="s">
        <v>940</v>
      </c>
      <c r="M3" s="24" t="s">
        <v>944</v>
      </c>
      <c r="N3" s="24" t="s">
        <v>948</v>
      </c>
      <c r="O3" s="24" t="s">
        <v>952</v>
      </c>
      <c r="P3" s="24" t="s">
        <v>956</v>
      </c>
      <c r="Q3" s="24" t="s">
        <v>960</v>
      </c>
      <c r="R3" s="24" t="s">
        <v>965</v>
      </c>
      <c r="S3" s="24" t="s">
        <v>970</v>
      </c>
      <c r="T3" s="24" t="s">
        <v>973</v>
      </c>
      <c r="U3" s="24" t="s">
        <v>977</v>
      </c>
      <c r="V3" s="24" t="s">
        <v>981</v>
      </c>
      <c r="W3" s="24" t="s">
        <v>990</v>
      </c>
      <c r="X3" s="24" t="s">
        <v>995</v>
      </c>
      <c r="Y3" s="24" t="s">
        <v>1002</v>
      </c>
      <c r="Z3" s="24" t="s">
        <v>1006</v>
      </c>
      <c r="AA3" s="24" t="s">
        <v>1010</v>
      </c>
      <c r="AB3" s="24" t="s">
        <v>1015</v>
      </c>
      <c r="AC3" s="24" t="s">
        <v>1036</v>
      </c>
      <c r="AD3" s="24" t="s">
        <v>1040</v>
      </c>
      <c r="AE3" s="24" t="s">
        <v>1044</v>
      </c>
      <c r="AF3" s="24" t="s">
        <v>1048</v>
      </c>
      <c r="AG3" s="24" t="s">
        <v>1051</v>
      </c>
      <c r="AH3" s="24" t="s">
        <v>1054</v>
      </c>
      <c r="AI3" s="24" t="s">
        <v>1057</v>
      </c>
    </row>
    <row r="4" spans="2:35" x14ac:dyDescent="0.25">
      <c r="B4" s="24" t="s">
        <v>897</v>
      </c>
      <c r="C4" s="24" t="s">
        <v>902</v>
      </c>
      <c r="D4" s="24" t="s">
        <v>906</v>
      </c>
      <c r="E4" s="24" t="s">
        <v>911</v>
      </c>
      <c r="F4" s="24" t="s">
        <v>915</v>
      </c>
      <c r="G4" s="24" t="s">
        <v>926</v>
      </c>
      <c r="H4" s="24" t="s">
        <v>919</v>
      </c>
      <c r="I4" s="24"/>
      <c r="J4" s="24" t="s">
        <v>933</v>
      </c>
      <c r="K4" s="24" t="s">
        <v>937</v>
      </c>
      <c r="L4" s="24" t="s">
        <v>941</v>
      </c>
      <c r="M4" s="24" t="s">
        <v>945</v>
      </c>
      <c r="N4" s="24" t="s">
        <v>949</v>
      </c>
      <c r="O4" s="24" t="s">
        <v>953</v>
      </c>
      <c r="P4" s="24" t="s">
        <v>957</v>
      </c>
      <c r="Q4" s="24" t="s">
        <v>961</v>
      </c>
      <c r="R4" s="24" t="s">
        <v>966</v>
      </c>
      <c r="S4" s="24"/>
      <c r="T4" s="24" t="s">
        <v>974</v>
      </c>
      <c r="U4" s="24" t="s">
        <v>978</v>
      </c>
      <c r="V4" s="24" t="s">
        <v>982</v>
      </c>
      <c r="W4" s="24" t="s">
        <v>991</v>
      </c>
      <c r="X4" s="24" t="s">
        <v>996</v>
      </c>
      <c r="Y4" s="24" t="s">
        <v>1003</v>
      </c>
      <c r="Z4" s="24" t="s">
        <v>1007</v>
      </c>
      <c r="AA4" s="24" t="s">
        <v>1011</v>
      </c>
      <c r="AB4" s="24" t="s">
        <v>1016</v>
      </c>
      <c r="AC4" s="24" t="s">
        <v>1037</v>
      </c>
      <c r="AD4" s="24" t="s">
        <v>1041</v>
      </c>
      <c r="AE4" s="24" t="s">
        <v>1045</v>
      </c>
      <c r="AF4" s="24"/>
      <c r="AG4" s="24"/>
      <c r="AH4" s="24"/>
      <c r="AI4" s="24" t="s">
        <v>1058</v>
      </c>
    </row>
    <row r="5" spans="2:35" x14ac:dyDescent="0.25">
      <c r="B5" s="24" t="s">
        <v>898</v>
      </c>
      <c r="D5" s="24" t="s">
        <v>907</v>
      </c>
      <c r="E5" s="24"/>
      <c r="F5" s="24" t="s">
        <v>916</v>
      </c>
      <c r="G5" s="24"/>
      <c r="H5" s="24" t="s">
        <v>920</v>
      </c>
      <c r="I5" s="24"/>
      <c r="J5" s="24"/>
      <c r="K5" s="24"/>
      <c r="L5" s="24"/>
      <c r="M5" s="24"/>
      <c r="N5" s="24"/>
      <c r="O5" s="24"/>
      <c r="P5" s="24"/>
      <c r="Q5" s="24" t="s">
        <v>962</v>
      </c>
      <c r="R5" s="24" t="s">
        <v>967</v>
      </c>
      <c r="S5" s="24"/>
      <c r="T5" s="24"/>
      <c r="U5" s="24"/>
      <c r="V5" s="24" t="s">
        <v>983</v>
      </c>
      <c r="W5" s="24" t="s">
        <v>992</v>
      </c>
      <c r="X5" s="24" t="s">
        <v>997</v>
      </c>
      <c r="Y5" s="24"/>
      <c r="Z5" s="24"/>
      <c r="AA5" s="24" t="s">
        <v>1012</v>
      </c>
      <c r="AB5" s="24" t="s">
        <v>1017</v>
      </c>
      <c r="AC5" s="24"/>
      <c r="AD5" s="24"/>
      <c r="AE5" s="24"/>
      <c r="AF5" s="24"/>
      <c r="AG5" s="24"/>
      <c r="AH5" s="24"/>
      <c r="AI5" s="24"/>
    </row>
    <row r="6" spans="2:35" x14ac:dyDescent="0.25">
      <c r="B6" s="24"/>
      <c r="D6" s="24"/>
      <c r="E6" s="24"/>
      <c r="F6" s="24"/>
      <c r="G6" s="24"/>
      <c r="H6" s="24" t="s">
        <v>921</v>
      </c>
      <c r="I6" s="24"/>
      <c r="J6" s="24"/>
      <c r="K6" s="24"/>
      <c r="L6" s="24"/>
      <c r="M6" s="24"/>
      <c r="N6" s="24"/>
      <c r="O6" s="24"/>
      <c r="P6" s="24"/>
      <c r="Q6" s="24"/>
      <c r="R6" s="24"/>
      <c r="S6" s="24"/>
      <c r="T6" s="24"/>
      <c r="U6" s="24"/>
      <c r="V6" s="24" t="s">
        <v>984</v>
      </c>
      <c r="W6" s="24"/>
      <c r="X6" s="24" t="s">
        <v>998</v>
      </c>
      <c r="Y6" s="24"/>
      <c r="Z6" s="24"/>
      <c r="AA6" s="24"/>
      <c r="AB6" s="24" t="s">
        <v>1018</v>
      </c>
      <c r="AC6" s="24"/>
      <c r="AD6" s="24"/>
      <c r="AE6" s="24"/>
      <c r="AF6" s="24"/>
      <c r="AG6" s="24"/>
      <c r="AH6" s="24"/>
      <c r="AI6" s="24"/>
    </row>
    <row r="7" spans="2:35" x14ac:dyDescent="0.25">
      <c r="B7" s="24"/>
      <c r="D7" s="24"/>
      <c r="E7" s="24"/>
      <c r="F7" s="24"/>
      <c r="G7" s="24"/>
      <c r="H7" s="24"/>
      <c r="I7" s="24"/>
      <c r="J7" s="24"/>
      <c r="K7" s="24"/>
      <c r="L7" s="24"/>
      <c r="M7" s="24"/>
      <c r="N7" s="24"/>
      <c r="O7" s="24"/>
      <c r="P7" s="24"/>
      <c r="Q7" s="24"/>
      <c r="R7" s="24"/>
      <c r="S7" s="24"/>
      <c r="T7" s="24"/>
      <c r="U7" s="24"/>
      <c r="V7" s="24" t="s">
        <v>985</v>
      </c>
      <c r="W7" s="24"/>
      <c r="X7" s="24" t="s">
        <v>999</v>
      </c>
      <c r="Y7" s="24"/>
      <c r="Z7" s="24"/>
      <c r="AA7" s="24"/>
      <c r="AB7" s="24" t="s">
        <v>1019</v>
      </c>
      <c r="AC7" s="24"/>
      <c r="AD7" s="24"/>
      <c r="AE7" s="24"/>
      <c r="AF7" s="24"/>
      <c r="AG7" s="24"/>
      <c r="AH7" s="24"/>
      <c r="AI7" s="24"/>
    </row>
    <row r="8" spans="2:35" x14ac:dyDescent="0.25">
      <c r="B8" s="24"/>
      <c r="D8" s="24"/>
      <c r="E8" s="24"/>
      <c r="F8" s="24"/>
      <c r="G8" s="24"/>
      <c r="H8" s="24"/>
      <c r="I8" s="24"/>
      <c r="J8" s="24"/>
      <c r="K8" s="24"/>
      <c r="L8" s="24"/>
      <c r="M8" s="24"/>
      <c r="N8" s="24"/>
      <c r="O8" s="24"/>
      <c r="P8" s="24"/>
      <c r="Q8" s="24"/>
      <c r="R8" s="24"/>
      <c r="S8" s="24"/>
      <c r="T8" s="24"/>
      <c r="U8" s="24"/>
      <c r="V8" s="24" t="s">
        <v>986</v>
      </c>
      <c r="W8" s="24"/>
      <c r="X8" s="24"/>
      <c r="Y8" s="24"/>
      <c r="Z8" s="24"/>
      <c r="AA8" s="24"/>
      <c r="AB8" s="24" t="s">
        <v>1020</v>
      </c>
      <c r="AC8" s="24"/>
      <c r="AD8" s="24"/>
      <c r="AE8" s="24"/>
      <c r="AF8" s="24"/>
      <c r="AG8" s="24"/>
      <c r="AH8" s="24"/>
      <c r="AI8" s="24"/>
    </row>
    <row r="9" spans="2:35" x14ac:dyDescent="0.25">
      <c r="B9" s="24"/>
      <c r="D9" s="24"/>
      <c r="E9" s="24"/>
      <c r="F9" s="24"/>
      <c r="G9" s="24"/>
      <c r="H9" s="24"/>
      <c r="I9" s="24"/>
      <c r="J9" s="24"/>
      <c r="K9" s="24"/>
      <c r="L9" s="24"/>
      <c r="M9" s="24"/>
      <c r="N9" s="24"/>
      <c r="O9" s="24"/>
      <c r="P9" s="24"/>
      <c r="Q9" s="24"/>
      <c r="R9" s="24"/>
      <c r="S9" s="24"/>
      <c r="T9" s="24"/>
      <c r="U9" s="24"/>
      <c r="V9" s="24" t="s">
        <v>987</v>
      </c>
      <c r="W9" s="24"/>
      <c r="X9" s="24"/>
      <c r="Y9" s="24"/>
      <c r="Z9" s="24"/>
      <c r="AA9" s="24"/>
      <c r="AB9" s="24" t="s">
        <v>1021</v>
      </c>
      <c r="AC9" s="24"/>
      <c r="AD9" s="24"/>
      <c r="AE9" s="24"/>
      <c r="AF9" s="24"/>
      <c r="AG9" s="24"/>
      <c r="AH9" s="24"/>
      <c r="AI9" s="24"/>
    </row>
    <row r="10" spans="2:35" x14ac:dyDescent="0.25">
      <c r="B10" s="24"/>
      <c r="D10" s="24"/>
      <c r="E10" s="24"/>
      <c r="F10" s="24"/>
      <c r="G10" s="24"/>
      <c r="H10" s="24"/>
      <c r="I10" s="24"/>
      <c r="J10" s="24"/>
      <c r="K10" s="24"/>
      <c r="L10" s="24"/>
      <c r="M10" s="24"/>
      <c r="N10" s="24"/>
      <c r="O10" s="24"/>
      <c r="P10" s="24"/>
      <c r="Q10" s="24"/>
      <c r="R10" s="24"/>
      <c r="S10" s="24"/>
      <c r="T10" s="24"/>
      <c r="U10" s="24"/>
      <c r="V10" s="24"/>
      <c r="W10" s="24"/>
      <c r="X10" s="24"/>
      <c r="Y10" s="24"/>
      <c r="Z10" s="24"/>
      <c r="AA10" s="24"/>
      <c r="AE10" s="24"/>
    </row>
    <row r="17" spans="2:2" x14ac:dyDescent="0.25">
      <c r="B17" s="58" t="s">
        <v>893</v>
      </c>
    </row>
  </sheetData>
  <sheetProtection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Instructions</vt:lpstr>
      <vt:lpstr>Recipe Sheet</vt:lpstr>
      <vt:lpstr>Brewhouse Setup &amp; Calcs</vt:lpstr>
      <vt:lpstr>Grain &amp; Sugar Calcs</vt:lpstr>
      <vt:lpstr>Hops Calcs</vt:lpstr>
      <vt:lpstr>Grain &amp; Sugar List</vt:lpstr>
      <vt:lpstr>Hops List</vt:lpstr>
      <vt:lpstr>Yeast List</vt:lpstr>
      <vt:lpstr>Beer Category &amp; Style List</vt:lpstr>
      <vt:lpstr>Priming</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Larry Carpenter</cp:lastModifiedBy>
  <cp:lastPrinted>2017-07-22T13:45:27Z</cp:lastPrinted>
  <dcterms:created xsi:type="dcterms:W3CDTF">2003-11-09T22:26:20Z</dcterms:created>
  <dcterms:modified xsi:type="dcterms:W3CDTF">2017-08-20T13:15:59Z</dcterms:modified>
</cp:coreProperties>
</file>